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90" windowWidth="27315" windowHeight="11265" activeTab="4"/>
  </bookViews>
  <sheets>
    <sheet name="MBBS 2021-2022" sheetId="1" r:id="rId1"/>
    <sheet name="MBBS 2022-2023" sheetId="2" r:id="rId2"/>
    <sheet name="MBBS 2023-2024" sheetId="3" r:id="rId3"/>
    <sheet name="MBBS 2024-2025" sheetId="4" r:id="rId4"/>
    <sheet name="MBBS 2025-2026" sheetId="5" r:id="rId5"/>
    <sheet name="PG 2024-2025" sheetId="6" r:id="rId6"/>
    <sheet name="PG 2025-2026" sheetId="7" r:id="rId7"/>
  </sheets>
  <calcPr calcId="144525"/>
</workbook>
</file>

<file path=xl/calcChain.xml><?xml version="1.0" encoding="utf-8"?>
<calcChain xmlns="http://schemas.openxmlformats.org/spreadsheetml/2006/main">
  <c r="R203" i="5" l="1"/>
  <c r="N203" i="5"/>
  <c r="I203" i="5"/>
  <c r="K203" i="5" s="1"/>
  <c r="R202" i="5"/>
  <c r="N202" i="5"/>
  <c r="I202" i="5"/>
  <c r="K202" i="5" s="1"/>
  <c r="R201" i="5"/>
  <c r="N201" i="5"/>
  <c r="K201" i="5"/>
  <c r="I201" i="5"/>
  <c r="R200" i="5"/>
  <c r="N200" i="5"/>
  <c r="I200" i="5"/>
  <c r="K200" i="5" s="1"/>
  <c r="R199" i="5"/>
  <c r="N199" i="5"/>
  <c r="I199" i="5"/>
  <c r="K199" i="5" s="1"/>
  <c r="R198" i="5"/>
  <c r="N198" i="5"/>
  <c r="K198" i="5"/>
  <c r="I198" i="5"/>
  <c r="R197" i="5"/>
  <c r="N197" i="5"/>
  <c r="I197" i="5"/>
  <c r="K197" i="5" s="1"/>
  <c r="R196" i="5"/>
  <c r="N196" i="5"/>
  <c r="I196" i="5"/>
  <c r="K196" i="5" s="1"/>
  <c r="R195" i="5"/>
  <c r="N195" i="5"/>
  <c r="K195" i="5"/>
  <c r="I195" i="5"/>
  <c r="R194" i="5"/>
  <c r="N194" i="5"/>
  <c r="I194" i="5"/>
  <c r="K194" i="5" s="1"/>
  <c r="R193" i="5"/>
  <c r="N193" i="5"/>
  <c r="I193" i="5"/>
  <c r="K193" i="5" s="1"/>
  <c r="R192" i="5"/>
  <c r="N192" i="5"/>
  <c r="K192" i="5"/>
  <c r="I192" i="5"/>
  <c r="R191" i="5"/>
  <c r="N191" i="5"/>
  <c r="I191" i="5"/>
  <c r="K191" i="5" s="1"/>
  <c r="R190" i="5"/>
  <c r="N190" i="5"/>
  <c r="I190" i="5"/>
  <c r="K190" i="5" s="1"/>
  <c r="R189" i="5"/>
  <c r="N189" i="5"/>
  <c r="K189" i="5"/>
  <c r="I189" i="5"/>
  <c r="R188" i="5"/>
  <c r="N188" i="5"/>
  <c r="I188" i="5"/>
  <c r="K188" i="5" s="1"/>
  <c r="R187" i="5"/>
  <c r="N187" i="5"/>
  <c r="I187" i="5"/>
  <c r="K187" i="5" s="1"/>
  <c r="R186" i="5"/>
  <c r="N186" i="5"/>
  <c r="K186" i="5"/>
  <c r="I186" i="5"/>
  <c r="R185" i="5"/>
  <c r="N185" i="5"/>
  <c r="I185" i="5"/>
  <c r="K185" i="5" s="1"/>
  <c r="R184" i="5"/>
  <c r="N184" i="5"/>
  <c r="I184" i="5"/>
  <c r="K184" i="5" s="1"/>
  <c r="R183" i="5"/>
  <c r="N183" i="5"/>
  <c r="K183" i="5"/>
  <c r="I183" i="5"/>
  <c r="R182" i="5"/>
  <c r="N182" i="5"/>
  <c r="I182" i="5"/>
  <c r="K182" i="5" s="1"/>
  <c r="R181" i="5"/>
  <c r="N181" i="5"/>
  <c r="I181" i="5"/>
  <c r="K181" i="5" s="1"/>
  <c r="R180" i="5"/>
  <c r="N180" i="5"/>
  <c r="K180" i="5"/>
  <c r="I180" i="5"/>
  <c r="R179" i="5"/>
  <c r="N179" i="5"/>
  <c r="I179" i="5"/>
  <c r="K179" i="5" s="1"/>
  <c r="R178" i="5"/>
  <c r="N178" i="5"/>
  <c r="I178" i="5"/>
  <c r="K178" i="5" s="1"/>
  <c r="R177" i="5"/>
  <c r="N177" i="5"/>
  <c r="K177" i="5"/>
  <c r="I177" i="5"/>
  <c r="R176" i="5"/>
  <c r="N176" i="5"/>
  <c r="I176" i="5"/>
  <c r="K176" i="5" s="1"/>
  <c r="R175" i="5"/>
  <c r="N175" i="5"/>
  <c r="I175" i="5"/>
  <c r="K175" i="5" s="1"/>
  <c r="R174" i="5"/>
  <c r="N174" i="5"/>
  <c r="K174" i="5"/>
  <c r="I174" i="5"/>
  <c r="R173" i="5"/>
  <c r="N173" i="5"/>
  <c r="I173" i="5"/>
  <c r="K173" i="5" s="1"/>
  <c r="R172" i="5"/>
  <c r="N172" i="5"/>
  <c r="I172" i="5"/>
  <c r="K172" i="5" s="1"/>
  <c r="R171" i="5"/>
  <c r="N171" i="5"/>
  <c r="K171" i="5"/>
  <c r="I171" i="5"/>
  <c r="R170" i="5"/>
  <c r="N170" i="5"/>
  <c r="I170" i="5"/>
  <c r="K170" i="5" s="1"/>
  <c r="R169" i="5"/>
  <c r="N169" i="5"/>
  <c r="I169" i="5"/>
  <c r="K169" i="5" s="1"/>
  <c r="R168" i="5"/>
  <c r="N168" i="5"/>
  <c r="K168" i="5"/>
  <c r="I168" i="5"/>
  <c r="R167" i="5"/>
  <c r="N167" i="5"/>
  <c r="I167" i="5"/>
  <c r="K167" i="5" s="1"/>
  <c r="R166" i="5"/>
  <c r="N166" i="5"/>
  <c r="I166" i="5"/>
  <c r="K166" i="5" s="1"/>
  <c r="R165" i="5"/>
  <c r="N165" i="5"/>
  <c r="K165" i="5"/>
  <c r="I165" i="5"/>
  <c r="R164" i="5"/>
  <c r="N164" i="5"/>
  <c r="I164" i="5"/>
  <c r="K164" i="5" s="1"/>
  <c r="R163" i="5"/>
  <c r="N163" i="5"/>
  <c r="I163" i="5"/>
  <c r="K163" i="5" s="1"/>
  <c r="R162" i="5"/>
  <c r="N162" i="5"/>
  <c r="K162" i="5"/>
  <c r="I162" i="5"/>
  <c r="R161" i="5"/>
  <c r="N161" i="5"/>
  <c r="I161" i="5"/>
  <c r="K161" i="5" s="1"/>
  <c r="R160" i="5"/>
  <c r="N160" i="5"/>
  <c r="I160" i="5"/>
  <c r="K160" i="5" s="1"/>
  <c r="R159" i="5"/>
  <c r="N159" i="5"/>
  <c r="K159" i="5"/>
  <c r="I159" i="5"/>
  <c r="R158" i="5"/>
  <c r="N158" i="5"/>
  <c r="I158" i="5"/>
  <c r="K158" i="5" s="1"/>
  <c r="R157" i="5"/>
  <c r="N157" i="5"/>
  <c r="I157" i="5"/>
  <c r="K157" i="5" s="1"/>
  <c r="R156" i="5"/>
  <c r="N156" i="5"/>
  <c r="K156" i="5"/>
  <c r="I156" i="5"/>
  <c r="R155" i="5"/>
  <c r="N155" i="5"/>
  <c r="I155" i="5"/>
  <c r="K155" i="5" s="1"/>
  <c r="R154" i="5"/>
  <c r="N154" i="5"/>
  <c r="I154" i="5"/>
  <c r="K154" i="5" s="1"/>
  <c r="R153" i="5"/>
  <c r="N153" i="5"/>
  <c r="K153" i="5"/>
  <c r="I153" i="5"/>
  <c r="R152" i="5"/>
  <c r="N152" i="5"/>
  <c r="I152" i="5"/>
  <c r="K152" i="5" s="1"/>
  <c r="R151" i="5"/>
  <c r="N151" i="5"/>
  <c r="I151" i="5"/>
  <c r="K151" i="5" s="1"/>
  <c r="R150" i="5"/>
  <c r="N150" i="5"/>
  <c r="K150" i="5"/>
  <c r="I150" i="5"/>
  <c r="R149" i="5"/>
  <c r="N149" i="5"/>
  <c r="I149" i="5"/>
  <c r="K149" i="5" s="1"/>
  <c r="R148" i="5"/>
  <c r="N148" i="5"/>
  <c r="I148" i="5"/>
  <c r="K148" i="5" s="1"/>
  <c r="R147" i="5"/>
  <c r="N147" i="5"/>
  <c r="K147" i="5"/>
  <c r="I147" i="5"/>
  <c r="R146" i="5"/>
  <c r="N146" i="5"/>
  <c r="I146" i="5"/>
  <c r="K146" i="5" s="1"/>
  <c r="R145" i="5"/>
  <c r="N145" i="5"/>
  <c r="I145" i="5"/>
  <c r="K145" i="5" s="1"/>
  <c r="R144" i="5"/>
  <c r="N144" i="5"/>
  <c r="K144" i="5"/>
  <c r="I144" i="5"/>
  <c r="R143" i="5"/>
  <c r="N143" i="5"/>
  <c r="I143" i="5"/>
  <c r="K143" i="5" s="1"/>
  <c r="R142" i="5"/>
  <c r="N142" i="5"/>
  <c r="I142" i="5"/>
  <c r="K142" i="5" s="1"/>
  <c r="R141" i="5"/>
  <c r="N141" i="5"/>
  <c r="K141" i="5"/>
  <c r="I141" i="5"/>
  <c r="R140" i="5"/>
  <c r="N140" i="5"/>
  <c r="I140" i="5"/>
  <c r="K140" i="5" s="1"/>
  <c r="R139" i="5"/>
  <c r="N139" i="5"/>
  <c r="I139" i="5"/>
  <c r="K139" i="5" s="1"/>
  <c r="R138" i="5"/>
  <c r="N138" i="5"/>
  <c r="K138" i="5"/>
  <c r="I138" i="5"/>
  <c r="R137" i="5"/>
  <c r="N137" i="5"/>
  <c r="I137" i="5"/>
  <c r="K137" i="5" s="1"/>
  <c r="R136" i="5"/>
  <c r="N136" i="5"/>
  <c r="I136" i="5"/>
  <c r="K136" i="5" s="1"/>
  <c r="R135" i="5"/>
  <c r="N135" i="5"/>
  <c r="K135" i="5"/>
  <c r="I135" i="5"/>
  <c r="R134" i="5"/>
  <c r="N134" i="5"/>
  <c r="I134" i="5"/>
  <c r="K134" i="5" s="1"/>
  <c r="R133" i="5"/>
  <c r="N133" i="5"/>
  <c r="I133" i="5"/>
  <c r="K133" i="5" s="1"/>
  <c r="R132" i="5"/>
  <c r="N132" i="5"/>
  <c r="K132" i="5"/>
  <c r="I132" i="5"/>
  <c r="R131" i="5"/>
  <c r="N131" i="5"/>
  <c r="I131" i="5"/>
  <c r="K131" i="5" s="1"/>
  <c r="R130" i="5"/>
  <c r="N130" i="5"/>
  <c r="I130" i="5"/>
  <c r="K130" i="5" s="1"/>
  <c r="R129" i="5"/>
  <c r="N129" i="5"/>
  <c r="K129" i="5"/>
  <c r="I129" i="5"/>
  <c r="R128" i="5"/>
  <c r="N128" i="5"/>
  <c r="I128" i="5"/>
  <c r="K128" i="5" s="1"/>
  <c r="R127" i="5"/>
  <c r="N127" i="5"/>
  <c r="I127" i="5"/>
  <c r="K127" i="5" s="1"/>
  <c r="R126" i="5"/>
  <c r="N126" i="5"/>
  <c r="K126" i="5"/>
  <c r="I126" i="5"/>
  <c r="R125" i="5"/>
  <c r="N125" i="5"/>
  <c r="I125" i="5"/>
  <c r="K125" i="5" s="1"/>
  <c r="R124" i="5"/>
  <c r="N124" i="5"/>
  <c r="I124" i="5"/>
  <c r="K124" i="5" s="1"/>
  <c r="R123" i="5"/>
  <c r="N123" i="5"/>
  <c r="K123" i="5"/>
  <c r="I123" i="5"/>
  <c r="R122" i="5"/>
  <c r="N122" i="5"/>
  <c r="I122" i="5"/>
  <c r="K122" i="5" s="1"/>
  <c r="R121" i="5"/>
  <c r="N121" i="5"/>
  <c r="I121" i="5"/>
  <c r="K121" i="5" s="1"/>
  <c r="R120" i="5"/>
  <c r="N120" i="5"/>
  <c r="K120" i="5"/>
  <c r="I120" i="5"/>
  <c r="R119" i="5"/>
  <c r="N119" i="5"/>
  <c r="I119" i="5"/>
  <c r="K119" i="5" s="1"/>
  <c r="R118" i="5"/>
  <c r="N118" i="5"/>
  <c r="I118" i="5"/>
  <c r="K118" i="5" s="1"/>
  <c r="R117" i="5"/>
  <c r="N117" i="5"/>
  <c r="K117" i="5"/>
  <c r="I117" i="5"/>
  <c r="R116" i="5"/>
  <c r="N116" i="5"/>
  <c r="I116" i="5"/>
  <c r="K116" i="5" s="1"/>
  <c r="R115" i="5"/>
  <c r="N115" i="5"/>
  <c r="I115" i="5"/>
  <c r="K115" i="5" s="1"/>
  <c r="R114" i="5"/>
  <c r="N114" i="5"/>
  <c r="K114" i="5"/>
  <c r="I114" i="5"/>
  <c r="R113" i="5"/>
  <c r="N113" i="5"/>
  <c r="I113" i="5"/>
  <c r="K113" i="5" s="1"/>
  <c r="R112" i="5"/>
  <c r="N112" i="5"/>
  <c r="I112" i="5"/>
  <c r="K112" i="5" s="1"/>
  <c r="R111" i="5"/>
  <c r="N111" i="5"/>
  <c r="K111" i="5"/>
  <c r="I111" i="5"/>
  <c r="R110" i="5"/>
  <c r="N110" i="5"/>
  <c r="I110" i="5"/>
  <c r="K110" i="5" s="1"/>
  <c r="R109" i="5"/>
  <c r="N109" i="5"/>
  <c r="I109" i="5"/>
  <c r="K109" i="5" s="1"/>
  <c r="R108" i="5"/>
  <c r="N108" i="5"/>
  <c r="K108" i="5"/>
  <c r="I108" i="5"/>
  <c r="R107" i="5"/>
  <c r="N107" i="5"/>
  <c r="I107" i="5"/>
  <c r="K107" i="5" s="1"/>
  <c r="R106" i="5"/>
  <c r="N106" i="5"/>
  <c r="I106" i="5"/>
  <c r="K106" i="5" s="1"/>
  <c r="R105" i="5"/>
  <c r="N105" i="5"/>
  <c r="K105" i="5"/>
  <c r="I105" i="5"/>
  <c r="R104" i="5"/>
  <c r="N104" i="5"/>
  <c r="I104" i="5"/>
  <c r="K104" i="5" s="1"/>
  <c r="R103" i="5"/>
  <c r="N103" i="5"/>
  <c r="I103" i="5"/>
  <c r="K103" i="5" s="1"/>
  <c r="R102" i="5"/>
  <c r="N102" i="5"/>
  <c r="K102" i="5"/>
  <c r="I102" i="5"/>
  <c r="R101" i="5"/>
  <c r="N101" i="5"/>
  <c r="I101" i="5"/>
  <c r="K101" i="5" s="1"/>
  <c r="R100" i="5"/>
  <c r="N100" i="5"/>
  <c r="I100" i="5"/>
  <c r="K100" i="5" s="1"/>
  <c r="R99" i="5"/>
  <c r="N99" i="5"/>
  <c r="K99" i="5"/>
  <c r="I99" i="5"/>
  <c r="R98" i="5"/>
  <c r="N98" i="5"/>
  <c r="I98" i="5"/>
  <c r="K98" i="5" s="1"/>
  <c r="R97" i="5"/>
  <c r="N97" i="5"/>
  <c r="I97" i="5"/>
  <c r="K97" i="5" s="1"/>
  <c r="R96" i="5"/>
  <c r="N96" i="5"/>
  <c r="K96" i="5"/>
  <c r="I96" i="5"/>
  <c r="R95" i="5"/>
  <c r="N95" i="5"/>
  <c r="I95" i="5"/>
  <c r="K95" i="5" s="1"/>
  <c r="R94" i="5"/>
  <c r="N94" i="5"/>
  <c r="I94" i="5"/>
  <c r="K94" i="5" s="1"/>
  <c r="R93" i="5"/>
  <c r="N93" i="5"/>
  <c r="K93" i="5"/>
  <c r="I93" i="5"/>
  <c r="R92" i="5"/>
  <c r="N92" i="5"/>
  <c r="I92" i="5"/>
  <c r="K92" i="5" s="1"/>
  <c r="R91" i="5"/>
  <c r="N91" i="5"/>
  <c r="I91" i="5"/>
  <c r="K91" i="5" s="1"/>
  <c r="R90" i="5"/>
  <c r="N90" i="5"/>
  <c r="K90" i="5"/>
  <c r="I90" i="5"/>
  <c r="R89" i="5"/>
  <c r="N89" i="5"/>
  <c r="I89" i="5"/>
  <c r="K89" i="5" s="1"/>
  <c r="R88" i="5"/>
  <c r="N88" i="5"/>
  <c r="I88" i="5"/>
  <c r="K88" i="5" s="1"/>
  <c r="R87" i="5"/>
  <c r="N87" i="5"/>
  <c r="K87" i="5"/>
  <c r="I87" i="5"/>
  <c r="R86" i="5"/>
  <c r="N86" i="5"/>
  <c r="I86" i="5"/>
  <c r="K86" i="5" s="1"/>
  <c r="R85" i="5"/>
  <c r="N85" i="5"/>
  <c r="I85" i="5"/>
  <c r="K85" i="5" s="1"/>
  <c r="R84" i="5"/>
  <c r="N84" i="5"/>
  <c r="K84" i="5"/>
  <c r="I84" i="5"/>
  <c r="R83" i="5"/>
  <c r="N83" i="5"/>
  <c r="I83" i="5"/>
  <c r="K83" i="5" s="1"/>
  <c r="R82" i="5"/>
  <c r="N82" i="5"/>
  <c r="I82" i="5"/>
  <c r="K82" i="5" s="1"/>
  <c r="R81" i="5"/>
  <c r="N81" i="5"/>
  <c r="K81" i="5"/>
  <c r="I81" i="5"/>
  <c r="R80" i="5"/>
  <c r="N80" i="5"/>
  <c r="I80" i="5"/>
  <c r="K80" i="5" s="1"/>
  <c r="R79" i="5"/>
  <c r="N79" i="5"/>
  <c r="I79" i="5"/>
  <c r="K79" i="5" s="1"/>
  <c r="R78" i="5"/>
  <c r="N78" i="5"/>
  <c r="K78" i="5"/>
  <c r="I78" i="5"/>
  <c r="R77" i="5"/>
  <c r="N77" i="5"/>
  <c r="I77" i="5"/>
  <c r="K77" i="5" s="1"/>
  <c r="R76" i="5"/>
  <c r="N76" i="5"/>
  <c r="I76" i="5"/>
  <c r="K76" i="5" s="1"/>
  <c r="R75" i="5"/>
  <c r="N75" i="5"/>
  <c r="K75" i="5"/>
  <c r="I75" i="5"/>
  <c r="R74" i="5"/>
  <c r="N74" i="5"/>
  <c r="I74" i="5"/>
  <c r="K74" i="5" s="1"/>
  <c r="R73" i="5"/>
  <c r="N73" i="5"/>
  <c r="I73" i="5"/>
  <c r="K73" i="5" s="1"/>
  <c r="R72" i="5"/>
  <c r="N72" i="5"/>
  <c r="K72" i="5"/>
  <c r="I72" i="5"/>
  <c r="R71" i="5"/>
  <c r="N71" i="5"/>
  <c r="I71" i="5"/>
  <c r="K71" i="5" s="1"/>
  <c r="R70" i="5"/>
  <c r="N70" i="5"/>
  <c r="I70" i="5"/>
  <c r="K70" i="5" s="1"/>
  <c r="R69" i="5"/>
  <c r="N69" i="5"/>
  <c r="K69" i="5"/>
  <c r="I69" i="5"/>
  <c r="R68" i="5"/>
  <c r="N68" i="5"/>
  <c r="I68" i="5"/>
  <c r="K68" i="5" s="1"/>
  <c r="R67" i="5"/>
  <c r="N67" i="5"/>
  <c r="I67" i="5"/>
  <c r="K67" i="5" s="1"/>
  <c r="R66" i="5"/>
  <c r="N66" i="5"/>
  <c r="K66" i="5"/>
  <c r="I66" i="5"/>
  <c r="R65" i="5"/>
  <c r="N65" i="5"/>
  <c r="I65" i="5"/>
  <c r="K65" i="5" s="1"/>
  <c r="R64" i="5"/>
  <c r="N64" i="5"/>
  <c r="I64" i="5"/>
  <c r="K64" i="5" s="1"/>
  <c r="R63" i="5"/>
  <c r="N63" i="5"/>
  <c r="K63" i="5"/>
  <c r="I63" i="5"/>
  <c r="R62" i="5"/>
  <c r="N62" i="5"/>
  <c r="I62" i="5"/>
  <c r="K62" i="5" s="1"/>
  <c r="R61" i="5"/>
  <c r="N61" i="5"/>
  <c r="I61" i="5"/>
  <c r="K61" i="5" s="1"/>
  <c r="R60" i="5"/>
  <c r="N60" i="5"/>
  <c r="K60" i="5"/>
  <c r="I60" i="5"/>
  <c r="R59" i="5"/>
  <c r="N59" i="5"/>
  <c r="I59" i="5"/>
  <c r="K59" i="5" s="1"/>
  <c r="R58" i="5"/>
  <c r="N58" i="5"/>
  <c r="I58" i="5"/>
  <c r="K58" i="5" s="1"/>
  <c r="R57" i="5"/>
  <c r="N57" i="5"/>
  <c r="K57" i="5"/>
  <c r="I57" i="5"/>
  <c r="R56" i="5"/>
  <c r="N56" i="5"/>
  <c r="I56" i="5"/>
  <c r="K56" i="5" s="1"/>
  <c r="R55" i="5"/>
  <c r="N55" i="5"/>
  <c r="I55" i="5"/>
  <c r="K55" i="5" s="1"/>
  <c r="R54" i="5"/>
  <c r="N54" i="5"/>
  <c r="K54" i="5"/>
  <c r="I54" i="5"/>
  <c r="R53" i="5"/>
  <c r="N53" i="5"/>
  <c r="I53" i="5"/>
  <c r="K53" i="5" s="1"/>
  <c r="R52" i="5"/>
  <c r="N52" i="5"/>
  <c r="I52" i="5"/>
  <c r="K52" i="5" s="1"/>
  <c r="R51" i="5"/>
  <c r="N51" i="5"/>
  <c r="K51" i="5"/>
  <c r="I51" i="5"/>
  <c r="R50" i="5"/>
  <c r="N50" i="5"/>
  <c r="I50" i="5"/>
  <c r="K50" i="5" s="1"/>
  <c r="R49" i="5"/>
  <c r="N49" i="5"/>
  <c r="I49" i="5"/>
  <c r="K49" i="5" s="1"/>
  <c r="R48" i="5"/>
  <c r="N48" i="5"/>
  <c r="I48" i="5"/>
  <c r="K48" i="5" s="1"/>
  <c r="R47" i="5"/>
  <c r="N47" i="5"/>
  <c r="I47" i="5"/>
  <c r="K47" i="5" s="1"/>
  <c r="R46" i="5"/>
  <c r="N46" i="5"/>
  <c r="I46" i="5"/>
  <c r="K46" i="5" s="1"/>
  <c r="R45" i="5"/>
  <c r="N45" i="5"/>
  <c r="I45" i="5"/>
  <c r="K45" i="5" s="1"/>
  <c r="R44" i="5"/>
  <c r="N44" i="5"/>
  <c r="I44" i="5"/>
  <c r="K44" i="5" s="1"/>
  <c r="R43" i="5"/>
  <c r="N43" i="5"/>
  <c r="I43" i="5"/>
  <c r="K43" i="5" s="1"/>
  <c r="R42" i="5"/>
  <c r="N42" i="5"/>
  <c r="I42" i="5"/>
  <c r="K42" i="5" s="1"/>
  <c r="R41" i="5"/>
  <c r="N41" i="5"/>
  <c r="I41" i="5"/>
  <c r="K41" i="5" s="1"/>
  <c r="R40" i="5"/>
  <c r="N40" i="5"/>
  <c r="I40" i="5"/>
  <c r="K40" i="5" s="1"/>
  <c r="R39" i="5"/>
  <c r="N39" i="5"/>
  <c r="I39" i="5"/>
  <c r="K39" i="5" s="1"/>
  <c r="R38" i="5"/>
  <c r="N38" i="5"/>
  <c r="I38" i="5"/>
  <c r="K38" i="5" s="1"/>
  <c r="R37" i="5"/>
  <c r="N37" i="5"/>
  <c r="I37" i="5"/>
  <c r="K37" i="5" s="1"/>
  <c r="R36" i="5"/>
  <c r="N36" i="5"/>
  <c r="I36" i="5"/>
  <c r="K36" i="5" s="1"/>
  <c r="R35" i="5"/>
  <c r="N35" i="5"/>
  <c r="I35" i="5"/>
  <c r="K35" i="5" s="1"/>
  <c r="R34" i="5"/>
  <c r="N34" i="5"/>
  <c r="I34" i="5"/>
  <c r="K34" i="5" s="1"/>
  <c r="R33" i="5"/>
  <c r="N33" i="5"/>
  <c r="I33" i="5"/>
  <c r="K33" i="5" s="1"/>
  <c r="R32" i="5"/>
  <c r="N32" i="5"/>
  <c r="I32" i="5"/>
  <c r="K32" i="5" s="1"/>
  <c r="R31" i="5"/>
  <c r="N31" i="5"/>
  <c r="I31" i="5"/>
  <c r="K31" i="5" s="1"/>
  <c r="R30" i="5"/>
  <c r="N30" i="5"/>
  <c r="I30" i="5"/>
  <c r="K30" i="5" s="1"/>
  <c r="R29" i="5"/>
  <c r="N29" i="5"/>
  <c r="I29" i="5"/>
  <c r="K29" i="5" s="1"/>
  <c r="R28" i="5"/>
  <c r="N28" i="5"/>
  <c r="I28" i="5"/>
  <c r="K28" i="5" s="1"/>
  <c r="R27" i="5"/>
  <c r="N27" i="5"/>
  <c r="I27" i="5"/>
  <c r="K27" i="5" s="1"/>
  <c r="R26" i="5"/>
  <c r="N26" i="5"/>
  <c r="I26" i="5"/>
  <c r="K26" i="5" s="1"/>
  <c r="R25" i="5"/>
  <c r="N25" i="5"/>
  <c r="I25" i="5"/>
  <c r="K25" i="5" s="1"/>
  <c r="R24" i="5"/>
  <c r="N24" i="5"/>
  <c r="I24" i="5"/>
  <c r="K24" i="5" s="1"/>
  <c r="R23" i="5"/>
  <c r="N23" i="5"/>
  <c r="I23" i="5"/>
  <c r="K23" i="5" s="1"/>
  <c r="R22" i="5"/>
  <c r="N22" i="5"/>
  <c r="I22" i="5"/>
  <c r="K22" i="5" s="1"/>
  <c r="R21" i="5"/>
  <c r="N21" i="5"/>
  <c r="I21" i="5"/>
  <c r="K21" i="5" s="1"/>
  <c r="R20" i="5"/>
  <c r="N20" i="5"/>
  <c r="I20" i="5"/>
  <c r="K20" i="5" s="1"/>
  <c r="R19" i="5"/>
  <c r="N19" i="5"/>
  <c r="I19" i="5"/>
  <c r="K19" i="5" s="1"/>
  <c r="R18" i="5"/>
  <c r="N18" i="5"/>
  <c r="I18" i="5"/>
  <c r="K18" i="5" s="1"/>
  <c r="R17" i="5"/>
  <c r="N17" i="5"/>
  <c r="I17" i="5"/>
  <c r="K17" i="5" s="1"/>
  <c r="R16" i="5"/>
  <c r="N16" i="5"/>
  <c r="I16" i="5"/>
  <c r="K16" i="5" s="1"/>
  <c r="R15" i="5"/>
  <c r="N15" i="5"/>
  <c r="I15" i="5"/>
  <c r="K15" i="5" s="1"/>
  <c r="R14" i="5"/>
  <c r="N14" i="5"/>
  <c r="I14" i="5"/>
  <c r="K14" i="5" s="1"/>
  <c r="R13" i="5"/>
  <c r="N13" i="5"/>
  <c r="I13" i="5"/>
  <c r="K13" i="5" s="1"/>
  <c r="R12" i="5"/>
  <c r="N12" i="5"/>
  <c r="I12" i="5"/>
  <c r="K12" i="5" s="1"/>
  <c r="R11" i="5"/>
  <c r="N11" i="5"/>
  <c r="I11" i="5"/>
  <c r="K11" i="5" s="1"/>
  <c r="R10" i="5"/>
  <c r="N10" i="5"/>
  <c r="I10" i="5"/>
  <c r="K10" i="5" s="1"/>
  <c r="R9" i="5"/>
  <c r="N9" i="5"/>
  <c r="I9" i="5"/>
  <c r="K9" i="5" s="1"/>
  <c r="R8" i="5"/>
  <c r="N8" i="5"/>
  <c r="I8" i="5"/>
  <c r="K8" i="5" s="1"/>
  <c r="R7" i="5"/>
  <c r="N7" i="5"/>
  <c r="I7" i="5"/>
  <c r="K7" i="5" s="1"/>
  <c r="R6" i="5"/>
  <c r="N6" i="5"/>
  <c r="I6" i="5"/>
  <c r="K6" i="5" s="1"/>
  <c r="R5" i="5"/>
  <c r="N5" i="5"/>
  <c r="I5" i="5"/>
  <c r="K5" i="5" s="1"/>
  <c r="R4" i="5"/>
  <c r="N4" i="5"/>
  <c r="I4" i="5"/>
  <c r="K4" i="5" s="1"/>
  <c r="K156" i="3" l="1"/>
  <c r="O185" i="2" l="1"/>
  <c r="L185" i="2"/>
  <c r="M185" i="2" s="1"/>
  <c r="O184" i="2"/>
  <c r="M184" i="2"/>
  <c r="L184" i="2"/>
  <c r="O183" i="2"/>
  <c r="L183" i="2"/>
  <c r="M183" i="2" s="1"/>
  <c r="O182" i="2"/>
  <c r="M182" i="2"/>
  <c r="L182" i="2"/>
  <c r="O181" i="2"/>
  <c r="L181" i="2"/>
  <c r="M181" i="2" s="1"/>
  <c r="O180" i="2"/>
  <c r="M180" i="2"/>
  <c r="L180" i="2"/>
  <c r="O179" i="2"/>
  <c r="L179" i="2"/>
  <c r="M179" i="2" s="1"/>
  <c r="O178" i="2"/>
  <c r="M178" i="2"/>
  <c r="L178" i="2"/>
  <c r="O177" i="2"/>
  <c r="L177" i="2"/>
  <c r="M177" i="2" s="1"/>
  <c r="O176" i="2"/>
  <c r="M176" i="2"/>
  <c r="L176" i="2"/>
  <c r="O175" i="2"/>
  <c r="L175" i="2"/>
  <c r="M175" i="2" s="1"/>
  <c r="O174" i="2"/>
  <c r="M174" i="2"/>
  <c r="L174" i="2"/>
  <c r="O173" i="2"/>
  <c r="L173" i="2"/>
  <c r="M173" i="2" s="1"/>
  <c r="O172" i="2"/>
  <c r="M172" i="2"/>
  <c r="L172" i="2"/>
  <c r="N153" i="2"/>
  <c r="K153" i="2"/>
  <c r="L153" i="2" s="1"/>
  <c r="N152" i="2"/>
  <c r="L152" i="2"/>
  <c r="K152" i="2"/>
  <c r="N151" i="2"/>
  <c r="K151" i="2"/>
  <c r="L151" i="2" s="1"/>
  <c r="N150" i="2"/>
  <c r="L150" i="2"/>
  <c r="K150" i="2"/>
  <c r="N149" i="2"/>
  <c r="K149" i="2"/>
  <c r="L149" i="2" s="1"/>
  <c r="N148" i="2"/>
  <c r="L148" i="2"/>
  <c r="K148" i="2"/>
  <c r="N147" i="2"/>
  <c r="K147" i="2"/>
  <c r="L147" i="2" s="1"/>
  <c r="N146" i="2"/>
  <c r="L146" i="2"/>
  <c r="K146" i="2"/>
  <c r="N145" i="2"/>
  <c r="K145" i="2"/>
  <c r="L145" i="2" s="1"/>
  <c r="N144" i="2"/>
  <c r="L144" i="2"/>
  <c r="K144" i="2"/>
  <c r="N143" i="2"/>
  <c r="K143" i="2"/>
  <c r="L143" i="2" s="1"/>
  <c r="N142" i="2"/>
  <c r="L142" i="2"/>
  <c r="K142" i="2"/>
  <c r="N141" i="2"/>
  <c r="K141" i="2"/>
  <c r="L141" i="2" s="1"/>
  <c r="N140" i="2"/>
  <c r="L140" i="2"/>
  <c r="K140" i="2"/>
  <c r="N139" i="2"/>
  <c r="K139" i="2"/>
  <c r="L139" i="2" s="1"/>
  <c r="N138" i="2"/>
  <c r="L138" i="2"/>
  <c r="K138" i="2"/>
  <c r="N137" i="2"/>
  <c r="K137" i="2"/>
  <c r="L137" i="2" s="1"/>
  <c r="N136" i="2"/>
  <c r="L136" i="2"/>
  <c r="K136" i="2"/>
  <c r="N135" i="2"/>
  <c r="K135" i="2"/>
  <c r="L135" i="2" s="1"/>
  <c r="N134" i="2"/>
  <c r="L134" i="2"/>
  <c r="K134" i="2"/>
  <c r="N133" i="2"/>
  <c r="K133" i="2"/>
  <c r="L133" i="2" s="1"/>
  <c r="N132" i="2"/>
  <c r="L132" i="2"/>
  <c r="K132" i="2"/>
  <c r="N131" i="2"/>
  <c r="K131" i="2"/>
  <c r="L131" i="2" s="1"/>
  <c r="N130" i="2"/>
  <c r="L130" i="2"/>
  <c r="K130" i="2"/>
  <c r="N129" i="2"/>
  <c r="K129" i="2"/>
  <c r="L129" i="2" s="1"/>
  <c r="N128" i="2"/>
  <c r="L128" i="2"/>
  <c r="K128" i="2"/>
  <c r="N127" i="2"/>
  <c r="K127" i="2"/>
  <c r="L127" i="2" s="1"/>
  <c r="N126" i="2"/>
  <c r="L126" i="2"/>
  <c r="N125" i="2"/>
  <c r="K125" i="2"/>
  <c r="L125" i="2" s="1"/>
  <c r="N124" i="2"/>
  <c r="K124" i="2"/>
  <c r="L124" i="2" s="1"/>
  <c r="N123" i="2"/>
  <c r="K123" i="2"/>
  <c r="L123" i="2" s="1"/>
  <c r="N122" i="2"/>
  <c r="K122" i="2"/>
  <c r="L122" i="2" s="1"/>
  <c r="N121" i="2"/>
  <c r="K121" i="2"/>
  <c r="L121" i="2" s="1"/>
  <c r="N120" i="2"/>
  <c r="K120" i="2"/>
  <c r="L120" i="2" s="1"/>
  <c r="N119" i="2"/>
  <c r="K119" i="2"/>
  <c r="L119" i="2" s="1"/>
  <c r="N118" i="2"/>
  <c r="K118" i="2"/>
  <c r="L118" i="2" s="1"/>
  <c r="N117" i="2"/>
  <c r="K117" i="2"/>
  <c r="L117" i="2" s="1"/>
  <c r="N116" i="2"/>
  <c r="K116" i="2"/>
  <c r="L116" i="2" s="1"/>
  <c r="N115" i="2"/>
  <c r="K115" i="2"/>
  <c r="L115" i="2" s="1"/>
  <c r="N114" i="2"/>
  <c r="K114" i="2"/>
  <c r="L114" i="2" s="1"/>
  <c r="N113" i="2"/>
  <c r="K113" i="2"/>
  <c r="L113" i="2" s="1"/>
  <c r="N112" i="2"/>
  <c r="K112" i="2"/>
  <c r="L112" i="2" s="1"/>
  <c r="N111" i="2"/>
  <c r="K111" i="2"/>
  <c r="L111" i="2" s="1"/>
  <c r="N110" i="2"/>
  <c r="K110" i="2"/>
  <c r="L110" i="2" s="1"/>
  <c r="N109" i="2"/>
  <c r="K109" i="2"/>
  <c r="L109" i="2" s="1"/>
  <c r="N108" i="2"/>
  <c r="K108" i="2"/>
  <c r="L108" i="2" s="1"/>
  <c r="N107" i="2"/>
  <c r="K107" i="2"/>
  <c r="L107" i="2" s="1"/>
  <c r="N106" i="2"/>
  <c r="K106" i="2"/>
  <c r="L106" i="2" s="1"/>
  <c r="N105" i="2"/>
  <c r="K105" i="2"/>
  <c r="L105" i="2" s="1"/>
  <c r="N104" i="2"/>
  <c r="K104" i="2"/>
  <c r="L104" i="2" s="1"/>
  <c r="N103" i="2"/>
  <c r="K103" i="2"/>
  <c r="L103" i="2" s="1"/>
  <c r="N102" i="2"/>
  <c r="K102" i="2"/>
  <c r="L102" i="2" s="1"/>
  <c r="N101" i="2"/>
  <c r="K101" i="2"/>
  <c r="L101" i="2" s="1"/>
  <c r="N100" i="2"/>
  <c r="K100" i="2"/>
  <c r="L100" i="2" s="1"/>
  <c r="N99" i="2"/>
  <c r="K99" i="2"/>
  <c r="L99" i="2" s="1"/>
  <c r="N98" i="2"/>
  <c r="K98" i="2"/>
  <c r="L98" i="2" s="1"/>
  <c r="N97" i="2"/>
  <c r="K97" i="2"/>
  <c r="L97" i="2" s="1"/>
  <c r="N96" i="2"/>
  <c r="K96" i="2"/>
  <c r="L96" i="2" s="1"/>
  <c r="N95" i="2"/>
  <c r="K95" i="2"/>
  <c r="L95" i="2" s="1"/>
  <c r="N94" i="2"/>
  <c r="K94" i="2"/>
  <c r="L94" i="2" s="1"/>
  <c r="N93" i="2"/>
  <c r="K93" i="2"/>
  <c r="L93" i="2" s="1"/>
  <c r="N92" i="2"/>
  <c r="K92" i="2"/>
  <c r="L92" i="2" s="1"/>
  <c r="N91" i="2"/>
  <c r="K91" i="2"/>
  <c r="L91" i="2" s="1"/>
  <c r="N90" i="2"/>
  <c r="K90" i="2"/>
  <c r="L90" i="2" s="1"/>
  <c r="N89" i="2"/>
  <c r="K89" i="2"/>
  <c r="L89" i="2" s="1"/>
  <c r="N88" i="2"/>
  <c r="K88" i="2"/>
  <c r="L88" i="2" s="1"/>
  <c r="N87" i="2"/>
  <c r="K87" i="2"/>
  <c r="L87" i="2" s="1"/>
  <c r="N86" i="2"/>
  <c r="K86" i="2"/>
  <c r="L86" i="2" s="1"/>
  <c r="N85" i="2"/>
  <c r="K85" i="2"/>
  <c r="L85" i="2" s="1"/>
  <c r="N84" i="2"/>
  <c r="K84" i="2"/>
  <c r="L84" i="2" s="1"/>
  <c r="N83" i="2"/>
  <c r="K83" i="2"/>
  <c r="L83" i="2" s="1"/>
  <c r="N82" i="2"/>
  <c r="K82" i="2"/>
  <c r="L82" i="2" s="1"/>
  <c r="N81" i="2"/>
  <c r="K81" i="2"/>
  <c r="L81" i="2" s="1"/>
  <c r="N80" i="2"/>
  <c r="K80" i="2"/>
  <c r="L80" i="2" s="1"/>
  <c r="N79" i="2"/>
  <c r="K79" i="2"/>
  <c r="N78" i="2"/>
  <c r="K78" i="2"/>
  <c r="L78" i="2" s="1"/>
  <c r="N77" i="2"/>
  <c r="K77" i="2"/>
  <c r="L77" i="2" s="1"/>
  <c r="N76" i="2"/>
  <c r="K76" i="2"/>
  <c r="L76" i="2" s="1"/>
  <c r="N75" i="2"/>
  <c r="K75" i="2"/>
  <c r="L75" i="2" s="1"/>
  <c r="N74" i="2"/>
  <c r="K74" i="2"/>
  <c r="L74" i="2" s="1"/>
  <c r="N73" i="2"/>
  <c r="K73" i="2"/>
  <c r="L73" i="2" s="1"/>
  <c r="N72" i="2"/>
  <c r="K72" i="2"/>
  <c r="L72" i="2" s="1"/>
  <c r="N71" i="2"/>
  <c r="K71" i="2"/>
  <c r="L71" i="2" s="1"/>
  <c r="N70" i="2"/>
  <c r="K70" i="2"/>
  <c r="L70" i="2" s="1"/>
  <c r="N69" i="2"/>
  <c r="K69" i="2"/>
  <c r="L69" i="2" s="1"/>
  <c r="N68" i="2"/>
  <c r="K68" i="2"/>
  <c r="L68" i="2" s="1"/>
  <c r="N67" i="2"/>
  <c r="K67" i="2"/>
  <c r="L67" i="2" s="1"/>
  <c r="N66" i="2"/>
  <c r="K66" i="2"/>
  <c r="L66" i="2" s="1"/>
  <c r="N65" i="2"/>
  <c r="K65" i="2"/>
  <c r="L65" i="2" s="1"/>
  <c r="N64" i="2"/>
  <c r="K64" i="2"/>
  <c r="L64" i="2" s="1"/>
  <c r="N63" i="2"/>
  <c r="K63" i="2"/>
  <c r="L63" i="2" s="1"/>
  <c r="N62" i="2"/>
  <c r="K62" i="2"/>
  <c r="L62" i="2" s="1"/>
  <c r="N61" i="2"/>
  <c r="K61" i="2"/>
  <c r="L61" i="2" s="1"/>
  <c r="N60" i="2"/>
  <c r="K60" i="2"/>
  <c r="L60" i="2" s="1"/>
  <c r="N59" i="2"/>
  <c r="K59" i="2"/>
  <c r="L59" i="2" s="1"/>
  <c r="N58" i="2"/>
  <c r="L58" i="2"/>
  <c r="K58" i="2"/>
  <c r="N57" i="2"/>
  <c r="K57" i="2"/>
  <c r="L57" i="2" s="1"/>
  <c r="N56" i="2"/>
  <c r="K56" i="2"/>
  <c r="L56" i="2" s="1"/>
  <c r="N55" i="2"/>
  <c r="K55" i="2"/>
  <c r="L55" i="2" s="1"/>
  <c r="N54" i="2"/>
  <c r="K54" i="2"/>
  <c r="L54" i="2" s="1"/>
  <c r="N53" i="2"/>
  <c r="K53" i="2"/>
  <c r="L53" i="2" s="1"/>
  <c r="N52" i="2"/>
  <c r="L52" i="2"/>
  <c r="K52" i="2"/>
  <c r="N51" i="2"/>
  <c r="K51" i="2"/>
  <c r="L51" i="2" s="1"/>
  <c r="N50" i="2"/>
  <c r="K50" i="2"/>
  <c r="L50" i="2" s="1"/>
  <c r="N49" i="2"/>
  <c r="K49" i="2"/>
  <c r="L49" i="2" s="1"/>
  <c r="N48" i="2"/>
  <c r="K48" i="2"/>
  <c r="L48" i="2" s="1"/>
  <c r="N47" i="2"/>
  <c r="K47" i="2"/>
  <c r="L47" i="2" s="1"/>
  <c r="N46" i="2"/>
  <c r="K46" i="2"/>
  <c r="L46" i="2" s="1"/>
  <c r="N45" i="2"/>
  <c r="K45" i="2"/>
  <c r="L45" i="2" s="1"/>
  <c r="N44" i="2"/>
  <c r="K44" i="2"/>
  <c r="L44" i="2" s="1"/>
  <c r="N43" i="2"/>
  <c r="K43" i="2"/>
  <c r="L43" i="2" s="1"/>
  <c r="N42" i="2"/>
  <c r="K42" i="2"/>
  <c r="L42" i="2" s="1"/>
  <c r="N41" i="2"/>
  <c r="K41" i="2"/>
  <c r="L41" i="2" s="1"/>
  <c r="N40" i="2"/>
  <c r="K40" i="2"/>
  <c r="L40" i="2" s="1"/>
  <c r="N39" i="2"/>
  <c r="K39" i="2"/>
  <c r="L39" i="2" s="1"/>
  <c r="N38" i="2"/>
  <c r="K38" i="2"/>
  <c r="L38" i="2" s="1"/>
  <c r="N37" i="2"/>
  <c r="K37" i="2"/>
  <c r="L37" i="2" s="1"/>
  <c r="N36" i="2"/>
  <c r="K36" i="2"/>
  <c r="N35" i="2"/>
  <c r="L35" i="2"/>
  <c r="K35" i="2"/>
  <c r="N34" i="2"/>
  <c r="K34" i="2"/>
  <c r="L34" i="2" s="1"/>
  <c r="N33" i="2"/>
  <c r="L33" i="2"/>
  <c r="K33" i="2"/>
  <c r="N32" i="2"/>
  <c r="K32" i="2"/>
  <c r="L32" i="2" s="1"/>
  <c r="N31" i="2"/>
  <c r="L31" i="2"/>
  <c r="K31" i="2"/>
  <c r="N30" i="2"/>
  <c r="K30" i="2"/>
  <c r="L30" i="2" s="1"/>
  <c r="N29" i="2"/>
  <c r="L29" i="2"/>
  <c r="K29" i="2"/>
  <c r="N28" i="2"/>
  <c r="K28" i="2"/>
  <c r="L28" i="2" s="1"/>
  <c r="N27" i="2"/>
  <c r="L27" i="2"/>
  <c r="K27" i="2"/>
  <c r="N26" i="2"/>
  <c r="K26" i="2"/>
  <c r="L26" i="2" s="1"/>
  <c r="N25" i="2"/>
  <c r="L25" i="2"/>
  <c r="K25" i="2"/>
  <c r="N24" i="2"/>
  <c r="K24" i="2"/>
  <c r="L24" i="2" s="1"/>
  <c r="N23" i="2"/>
  <c r="L23" i="2"/>
  <c r="K23" i="2"/>
  <c r="N22" i="2"/>
  <c r="K22" i="2"/>
  <c r="L22" i="2" s="1"/>
  <c r="N21" i="2"/>
  <c r="L21" i="2"/>
  <c r="K21" i="2"/>
  <c r="N20" i="2"/>
  <c r="K20" i="2"/>
  <c r="L20" i="2" s="1"/>
  <c r="N19" i="2"/>
  <c r="L19" i="2"/>
  <c r="K19" i="2"/>
  <c r="N18" i="2"/>
  <c r="K18" i="2"/>
  <c r="L18" i="2" s="1"/>
  <c r="N17" i="2"/>
  <c r="L17" i="2"/>
  <c r="K17" i="2"/>
  <c r="N16" i="2"/>
  <c r="K16" i="2"/>
  <c r="L16" i="2" s="1"/>
  <c r="N15" i="2"/>
  <c r="L15" i="2"/>
  <c r="K15" i="2"/>
  <c r="N14" i="2"/>
  <c r="K14" i="2"/>
  <c r="L14" i="2" s="1"/>
  <c r="N13" i="2"/>
  <c r="L13" i="2"/>
  <c r="K13" i="2"/>
  <c r="N12" i="2"/>
  <c r="K12" i="2"/>
  <c r="L12" i="2" s="1"/>
  <c r="N11" i="2"/>
  <c r="L11" i="2"/>
  <c r="K11" i="2"/>
  <c r="N10" i="2"/>
  <c r="K10" i="2"/>
  <c r="L10" i="2" s="1"/>
  <c r="N9" i="2"/>
  <c r="L9" i="2"/>
  <c r="K9" i="2"/>
  <c r="N8" i="2"/>
  <c r="K8" i="2"/>
  <c r="L8" i="2" s="1"/>
  <c r="N7" i="2"/>
  <c r="L7" i="2"/>
  <c r="K7" i="2"/>
  <c r="N6" i="2"/>
  <c r="K6" i="2"/>
  <c r="L6" i="2" s="1"/>
  <c r="N5" i="2"/>
  <c r="L5" i="2"/>
  <c r="K5" i="2"/>
  <c r="N4" i="2"/>
  <c r="K4" i="2"/>
  <c r="L4" i="2" s="1"/>
  <c r="R156" i="1" l="1"/>
  <c r="N156" i="1"/>
  <c r="I156" i="1"/>
  <c r="K156" i="1" s="1"/>
  <c r="R155" i="1"/>
  <c r="N155" i="1"/>
  <c r="K155" i="1"/>
  <c r="I155" i="1"/>
  <c r="R154" i="1"/>
  <c r="N154" i="1"/>
  <c r="K154" i="1"/>
  <c r="I154" i="1"/>
  <c r="R153" i="1"/>
  <c r="N153" i="1"/>
  <c r="I153" i="1"/>
  <c r="K153" i="1" s="1"/>
  <c r="R152" i="1"/>
  <c r="N152" i="1"/>
  <c r="K152" i="1"/>
  <c r="I152" i="1"/>
  <c r="R151" i="1"/>
  <c r="N151" i="1"/>
  <c r="K151" i="1"/>
  <c r="I151" i="1"/>
  <c r="R150" i="1"/>
  <c r="N150" i="1"/>
  <c r="I150" i="1"/>
  <c r="K150" i="1" s="1"/>
  <c r="R149" i="1"/>
  <c r="N149" i="1"/>
  <c r="K149" i="1"/>
  <c r="I149" i="1"/>
  <c r="R148" i="1"/>
  <c r="N148" i="1"/>
  <c r="K148" i="1"/>
  <c r="I148" i="1"/>
  <c r="R147" i="1"/>
  <c r="N147" i="1"/>
  <c r="I147" i="1"/>
  <c r="K147" i="1" s="1"/>
  <c r="R146" i="1"/>
  <c r="N146" i="1"/>
  <c r="K146" i="1"/>
  <c r="I146" i="1"/>
  <c r="R145" i="1"/>
  <c r="N145" i="1"/>
  <c r="K145" i="1"/>
  <c r="I145" i="1"/>
  <c r="R144" i="1"/>
  <c r="N144" i="1"/>
  <c r="I144" i="1"/>
  <c r="K144" i="1" s="1"/>
  <c r="R143" i="1"/>
  <c r="N143" i="1"/>
  <c r="K143" i="1"/>
  <c r="I143" i="1"/>
  <c r="R142" i="1"/>
  <c r="N142" i="1"/>
  <c r="K142" i="1"/>
  <c r="I142" i="1"/>
  <c r="R141" i="1"/>
  <c r="N141" i="1"/>
  <c r="I141" i="1"/>
  <c r="K141" i="1" s="1"/>
  <c r="R140" i="1"/>
  <c r="N140" i="1"/>
  <c r="K140" i="1"/>
  <c r="I140" i="1"/>
  <c r="R139" i="1"/>
  <c r="N139" i="1"/>
  <c r="K139" i="1"/>
  <c r="I139" i="1"/>
  <c r="R138" i="1"/>
  <c r="N138" i="1"/>
  <c r="I138" i="1"/>
  <c r="K138" i="1" s="1"/>
  <c r="R137" i="1"/>
  <c r="N137" i="1"/>
  <c r="K137" i="1"/>
  <c r="I137" i="1"/>
  <c r="R136" i="1"/>
  <c r="N136" i="1"/>
  <c r="K136" i="1"/>
  <c r="I136" i="1"/>
  <c r="R135" i="1"/>
  <c r="N135" i="1"/>
  <c r="I135" i="1"/>
  <c r="K135" i="1" s="1"/>
  <c r="R134" i="1"/>
  <c r="N134" i="1"/>
  <c r="K134" i="1"/>
  <c r="I134" i="1"/>
  <c r="R133" i="1"/>
  <c r="N133" i="1"/>
  <c r="K133" i="1"/>
  <c r="I133" i="1"/>
  <c r="R132" i="1"/>
  <c r="N132" i="1"/>
  <c r="I132" i="1"/>
  <c r="K132" i="1" s="1"/>
  <c r="R131" i="1"/>
  <c r="N131" i="1"/>
  <c r="K131" i="1"/>
  <c r="I131" i="1"/>
  <c r="R130" i="1"/>
  <c r="N130" i="1"/>
  <c r="K130" i="1"/>
  <c r="I130" i="1"/>
  <c r="R129" i="1"/>
  <c r="N129" i="1"/>
  <c r="I129" i="1"/>
  <c r="K129" i="1" s="1"/>
  <c r="R128" i="1"/>
  <c r="N128" i="1"/>
  <c r="K128" i="1"/>
  <c r="I128" i="1"/>
  <c r="R127" i="1"/>
  <c r="N127" i="1"/>
  <c r="K127" i="1"/>
  <c r="I127" i="1"/>
  <c r="R126" i="1"/>
  <c r="N126" i="1"/>
  <c r="I126" i="1"/>
  <c r="K126" i="1" s="1"/>
  <c r="R125" i="1"/>
  <c r="N125" i="1"/>
  <c r="K125" i="1"/>
  <c r="I125" i="1"/>
  <c r="R124" i="1"/>
  <c r="N124" i="1"/>
  <c r="K124" i="1"/>
  <c r="I124" i="1"/>
  <c r="R123" i="1"/>
  <c r="N123" i="1"/>
  <c r="I123" i="1"/>
  <c r="K123" i="1" s="1"/>
  <c r="R122" i="1"/>
  <c r="N122" i="1"/>
  <c r="K122" i="1"/>
  <c r="I122" i="1"/>
  <c r="R121" i="1"/>
  <c r="N121" i="1"/>
  <c r="K121" i="1"/>
  <c r="I121" i="1"/>
  <c r="R120" i="1"/>
  <c r="N120" i="1"/>
  <c r="I120" i="1"/>
  <c r="K120" i="1" s="1"/>
  <c r="R119" i="1"/>
  <c r="N119" i="1"/>
  <c r="K119" i="1"/>
  <c r="I119" i="1"/>
  <c r="R118" i="1"/>
  <c r="N118" i="1"/>
  <c r="K118" i="1"/>
  <c r="I118" i="1"/>
  <c r="R117" i="1"/>
  <c r="N117" i="1"/>
  <c r="I117" i="1"/>
  <c r="K117" i="1" s="1"/>
  <c r="R116" i="1"/>
  <c r="N116" i="1"/>
  <c r="K116" i="1"/>
  <c r="I116" i="1"/>
  <c r="R115" i="1"/>
  <c r="N115" i="1"/>
  <c r="K115" i="1"/>
  <c r="I115" i="1"/>
  <c r="R114" i="1"/>
  <c r="N114" i="1"/>
  <c r="I114" i="1"/>
  <c r="K114" i="1" s="1"/>
  <c r="R113" i="1"/>
  <c r="N113" i="1"/>
  <c r="K113" i="1"/>
  <c r="I113" i="1"/>
  <c r="R112" i="1"/>
  <c r="N112" i="1"/>
  <c r="K112" i="1"/>
  <c r="I112" i="1"/>
  <c r="R111" i="1"/>
  <c r="N111" i="1"/>
  <c r="I111" i="1"/>
  <c r="K111" i="1" s="1"/>
  <c r="R110" i="1"/>
  <c r="N110" i="1"/>
  <c r="K110" i="1"/>
  <c r="I110" i="1"/>
  <c r="R109" i="1"/>
  <c r="N109" i="1"/>
  <c r="K109" i="1"/>
  <c r="I109" i="1"/>
  <c r="R108" i="1"/>
  <c r="N108" i="1"/>
  <c r="I108" i="1"/>
  <c r="K108" i="1" s="1"/>
  <c r="R107" i="1"/>
  <c r="N107" i="1"/>
  <c r="K107" i="1"/>
  <c r="I107" i="1"/>
  <c r="R106" i="1"/>
  <c r="N106" i="1"/>
  <c r="K106" i="1"/>
  <c r="I106" i="1"/>
  <c r="R105" i="1"/>
  <c r="N105" i="1"/>
  <c r="I105" i="1"/>
  <c r="K105" i="1" s="1"/>
  <c r="R104" i="1"/>
  <c r="N104" i="1"/>
  <c r="K104" i="1"/>
  <c r="I104" i="1"/>
  <c r="R103" i="1"/>
  <c r="N103" i="1"/>
  <c r="K103" i="1"/>
  <c r="I103" i="1"/>
  <c r="R102" i="1"/>
  <c r="N102" i="1"/>
  <c r="I102" i="1"/>
  <c r="K102" i="1" s="1"/>
  <c r="R101" i="1"/>
  <c r="N101" i="1"/>
  <c r="K101" i="1"/>
  <c r="I101" i="1"/>
  <c r="R100" i="1"/>
  <c r="N100" i="1"/>
  <c r="K100" i="1"/>
  <c r="I100" i="1"/>
  <c r="R99" i="1"/>
  <c r="N99" i="1"/>
  <c r="I99" i="1"/>
  <c r="K99" i="1" s="1"/>
  <c r="R98" i="1"/>
  <c r="N98" i="1"/>
  <c r="K98" i="1"/>
  <c r="I98" i="1"/>
  <c r="R97" i="1"/>
  <c r="N97" i="1"/>
  <c r="K97" i="1"/>
  <c r="I97" i="1"/>
  <c r="R96" i="1"/>
  <c r="N96" i="1"/>
  <c r="I96" i="1"/>
  <c r="K96" i="1" s="1"/>
  <c r="R95" i="1"/>
  <c r="N95" i="1"/>
  <c r="K95" i="1"/>
  <c r="I95" i="1"/>
  <c r="R94" i="1"/>
  <c r="N94" i="1"/>
  <c r="K94" i="1"/>
  <c r="I94" i="1"/>
  <c r="R93" i="1"/>
  <c r="N93" i="1"/>
  <c r="I93" i="1"/>
  <c r="K93" i="1" s="1"/>
  <c r="R92" i="1"/>
  <c r="N92" i="1"/>
  <c r="K92" i="1"/>
  <c r="I92" i="1"/>
  <c r="R91" i="1"/>
  <c r="N91" i="1"/>
  <c r="K91" i="1"/>
  <c r="I91" i="1"/>
  <c r="R90" i="1"/>
  <c r="N90" i="1"/>
  <c r="I90" i="1"/>
  <c r="K90" i="1" s="1"/>
  <c r="R89" i="1"/>
  <c r="N89" i="1"/>
  <c r="K89" i="1"/>
  <c r="I89" i="1"/>
  <c r="R88" i="1"/>
  <c r="N88" i="1"/>
  <c r="K88" i="1"/>
  <c r="I88" i="1"/>
  <c r="R87" i="1"/>
  <c r="N87" i="1"/>
  <c r="I87" i="1"/>
  <c r="K87" i="1" s="1"/>
  <c r="R86" i="1"/>
  <c r="N86" i="1"/>
  <c r="K86" i="1"/>
  <c r="I86" i="1"/>
  <c r="R85" i="1"/>
  <c r="N85" i="1"/>
  <c r="K85" i="1"/>
  <c r="I85" i="1"/>
  <c r="R84" i="1"/>
  <c r="N84" i="1"/>
  <c r="I84" i="1"/>
  <c r="K84" i="1" s="1"/>
  <c r="R83" i="1"/>
  <c r="N83" i="1"/>
  <c r="K83" i="1"/>
  <c r="I83" i="1"/>
  <c r="R82" i="1"/>
  <c r="N82" i="1"/>
  <c r="K82" i="1"/>
  <c r="I82" i="1"/>
  <c r="R81" i="1"/>
  <c r="N81" i="1"/>
  <c r="I81" i="1"/>
  <c r="K81" i="1" s="1"/>
  <c r="R80" i="1"/>
  <c r="N80" i="1"/>
  <c r="K80" i="1"/>
  <c r="I80" i="1"/>
  <c r="R79" i="1"/>
  <c r="N79" i="1"/>
  <c r="K79" i="1"/>
  <c r="I79" i="1"/>
  <c r="R78" i="1"/>
  <c r="N78" i="1"/>
  <c r="I78" i="1"/>
  <c r="K78" i="1" s="1"/>
  <c r="R77" i="1"/>
  <c r="N77" i="1"/>
  <c r="K77" i="1"/>
  <c r="I77" i="1"/>
  <c r="R76" i="1"/>
  <c r="N76" i="1"/>
  <c r="K76" i="1"/>
  <c r="I76" i="1"/>
  <c r="R75" i="1"/>
  <c r="N75" i="1"/>
  <c r="I75" i="1"/>
  <c r="K75" i="1" s="1"/>
  <c r="R74" i="1"/>
  <c r="N74" i="1"/>
  <c r="K74" i="1"/>
  <c r="I74" i="1"/>
  <c r="R73" i="1"/>
  <c r="N73" i="1"/>
  <c r="K73" i="1"/>
  <c r="I73" i="1"/>
  <c r="R72" i="1"/>
  <c r="N72" i="1"/>
  <c r="I72" i="1"/>
  <c r="K72" i="1" s="1"/>
  <c r="R71" i="1"/>
  <c r="N71" i="1"/>
  <c r="K71" i="1"/>
  <c r="I71" i="1"/>
  <c r="R70" i="1"/>
  <c r="N70" i="1"/>
  <c r="K70" i="1"/>
  <c r="I70" i="1"/>
  <c r="R69" i="1"/>
  <c r="N69" i="1"/>
  <c r="I69" i="1"/>
  <c r="K69" i="1" s="1"/>
  <c r="R68" i="1"/>
  <c r="N68" i="1"/>
  <c r="K68" i="1"/>
  <c r="I68" i="1"/>
  <c r="R67" i="1"/>
  <c r="N67" i="1"/>
  <c r="K67" i="1"/>
  <c r="I67" i="1"/>
  <c r="R66" i="1"/>
  <c r="N66" i="1"/>
  <c r="I66" i="1"/>
  <c r="K66" i="1" s="1"/>
  <c r="R65" i="1"/>
  <c r="N65" i="1"/>
  <c r="K65" i="1"/>
  <c r="I65" i="1"/>
  <c r="R64" i="1"/>
  <c r="N64" i="1"/>
  <c r="K64" i="1"/>
  <c r="I64" i="1"/>
  <c r="R63" i="1"/>
  <c r="N63" i="1"/>
  <c r="I63" i="1"/>
  <c r="K63" i="1" s="1"/>
  <c r="R62" i="1"/>
  <c r="N62" i="1"/>
  <c r="K62" i="1"/>
  <c r="I62" i="1"/>
  <c r="R61" i="1"/>
  <c r="N61" i="1"/>
  <c r="K61" i="1"/>
  <c r="I61" i="1"/>
  <c r="R60" i="1"/>
  <c r="N60" i="1"/>
  <c r="I60" i="1"/>
  <c r="K60" i="1" s="1"/>
  <c r="R59" i="1"/>
  <c r="N59" i="1"/>
  <c r="K59" i="1"/>
  <c r="I59" i="1"/>
  <c r="R58" i="1"/>
  <c r="N58" i="1"/>
  <c r="K58" i="1"/>
  <c r="I58" i="1"/>
  <c r="R57" i="1"/>
  <c r="N57" i="1"/>
  <c r="I57" i="1"/>
  <c r="K57" i="1" s="1"/>
  <c r="R56" i="1"/>
  <c r="N56" i="1"/>
  <c r="K56" i="1"/>
  <c r="I56" i="1"/>
  <c r="R55" i="1"/>
  <c r="N55" i="1"/>
  <c r="K55" i="1"/>
  <c r="I55" i="1"/>
  <c r="R54" i="1"/>
  <c r="N54" i="1"/>
  <c r="I54" i="1"/>
  <c r="K54" i="1" s="1"/>
  <c r="R53" i="1"/>
  <c r="N53" i="1"/>
  <c r="K53" i="1"/>
  <c r="I53" i="1"/>
  <c r="R52" i="1"/>
  <c r="N52" i="1"/>
  <c r="K52" i="1"/>
  <c r="I52" i="1"/>
  <c r="R51" i="1"/>
  <c r="N51" i="1"/>
  <c r="I51" i="1"/>
  <c r="K51" i="1" s="1"/>
  <c r="R50" i="1"/>
  <c r="N50" i="1"/>
  <c r="K50" i="1"/>
  <c r="I50" i="1"/>
  <c r="R49" i="1"/>
  <c r="N49" i="1"/>
  <c r="K49" i="1"/>
  <c r="I49" i="1"/>
  <c r="R48" i="1"/>
  <c r="N48" i="1"/>
  <c r="I48" i="1"/>
  <c r="K48" i="1" s="1"/>
  <c r="R47" i="1"/>
  <c r="N47" i="1"/>
  <c r="K47" i="1"/>
  <c r="I47" i="1"/>
  <c r="R46" i="1"/>
  <c r="N46" i="1"/>
  <c r="K46" i="1"/>
  <c r="I46" i="1"/>
  <c r="R45" i="1"/>
  <c r="N45" i="1"/>
  <c r="I45" i="1"/>
  <c r="K45" i="1" s="1"/>
  <c r="R44" i="1"/>
  <c r="N44" i="1"/>
  <c r="K44" i="1"/>
  <c r="I44" i="1"/>
  <c r="R43" i="1"/>
  <c r="N43" i="1"/>
  <c r="K43" i="1"/>
  <c r="I43" i="1"/>
  <c r="R42" i="1"/>
  <c r="N42" i="1"/>
  <c r="I42" i="1"/>
  <c r="K42" i="1" s="1"/>
  <c r="R41" i="1"/>
  <c r="N41" i="1"/>
  <c r="K41" i="1"/>
  <c r="I41" i="1"/>
  <c r="R40" i="1"/>
  <c r="N40" i="1"/>
  <c r="K40" i="1"/>
  <c r="I40" i="1"/>
  <c r="R39" i="1"/>
  <c r="N39" i="1"/>
  <c r="I39" i="1"/>
  <c r="K39" i="1" s="1"/>
  <c r="R38" i="1"/>
  <c r="N38" i="1"/>
  <c r="K38" i="1"/>
  <c r="I38" i="1"/>
  <c r="R37" i="1"/>
  <c r="N37" i="1"/>
  <c r="K37" i="1"/>
  <c r="I37" i="1"/>
  <c r="R36" i="1"/>
  <c r="N36" i="1"/>
  <c r="I36" i="1"/>
  <c r="K36" i="1" s="1"/>
  <c r="R35" i="1"/>
  <c r="N35" i="1"/>
  <c r="K35" i="1"/>
  <c r="I35" i="1"/>
  <c r="R34" i="1"/>
  <c r="N34" i="1"/>
  <c r="K34" i="1"/>
  <c r="I34" i="1"/>
  <c r="R33" i="1"/>
  <c r="N33" i="1"/>
  <c r="I33" i="1"/>
  <c r="K33" i="1" s="1"/>
  <c r="R32" i="1"/>
  <c r="N32" i="1"/>
  <c r="K32" i="1"/>
  <c r="I32" i="1"/>
  <c r="R31" i="1"/>
  <c r="N31" i="1"/>
  <c r="K31" i="1"/>
  <c r="I31" i="1"/>
  <c r="R30" i="1"/>
  <c r="N30" i="1"/>
  <c r="I30" i="1"/>
  <c r="K30" i="1" s="1"/>
  <c r="R29" i="1"/>
  <c r="N29" i="1"/>
  <c r="K29" i="1"/>
  <c r="I29" i="1"/>
  <c r="R28" i="1"/>
  <c r="N28" i="1"/>
  <c r="K28" i="1"/>
  <c r="I28" i="1"/>
  <c r="R27" i="1"/>
  <c r="N27" i="1"/>
  <c r="I27" i="1"/>
  <c r="K27" i="1" s="1"/>
  <c r="R26" i="1"/>
  <c r="N26" i="1"/>
  <c r="K26" i="1"/>
  <c r="I26" i="1"/>
  <c r="R25" i="1"/>
  <c r="N25" i="1"/>
  <c r="K25" i="1"/>
  <c r="I25" i="1"/>
  <c r="R24" i="1"/>
  <c r="N24" i="1"/>
  <c r="I24" i="1"/>
  <c r="K24" i="1" s="1"/>
  <c r="R23" i="1"/>
  <c r="N23" i="1"/>
  <c r="K23" i="1"/>
  <c r="I23" i="1"/>
  <c r="R22" i="1"/>
  <c r="N22" i="1"/>
  <c r="K22" i="1"/>
  <c r="I22" i="1"/>
  <c r="R21" i="1"/>
  <c r="N21" i="1"/>
  <c r="I21" i="1"/>
  <c r="K21" i="1" s="1"/>
  <c r="R20" i="1"/>
  <c r="N20" i="1"/>
  <c r="K20" i="1"/>
  <c r="I20" i="1"/>
  <c r="R19" i="1"/>
  <c r="N19" i="1"/>
  <c r="K19" i="1"/>
  <c r="I19" i="1"/>
  <c r="R18" i="1"/>
  <c r="N18" i="1"/>
  <c r="I18" i="1"/>
  <c r="K18" i="1" s="1"/>
  <c r="R17" i="1"/>
  <c r="N17" i="1"/>
  <c r="K17" i="1"/>
  <c r="I17" i="1"/>
  <c r="R16" i="1"/>
  <c r="N16" i="1"/>
  <c r="K16" i="1"/>
  <c r="I16" i="1"/>
  <c r="R15" i="1"/>
  <c r="N15" i="1"/>
  <c r="I15" i="1"/>
  <c r="K15" i="1" s="1"/>
  <c r="R14" i="1"/>
  <c r="N14" i="1"/>
  <c r="K14" i="1"/>
  <c r="I14" i="1"/>
  <c r="R13" i="1"/>
  <c r="N13" i="1"/>
  <c r="K13" i="1"/>
  <c r="I13" i="1"/>
  <c r="R12" i="1"/>
  <c r="N12" i="1"/>
  <c r="I12" i="1"/>
  <c r="K12" i="1" s="1"/>
  <c r="R11" i="1"/>
  <c r="N11" i="1"/>
  <c r="K11" i="1"/>
  <c r="I11" i="1"/>
  <c r="R10" i="1"/>
  <c r="N10" i="1"/>
  <c r="K10" i="1"/>
  <c r="I10" i="1"/>
  <c r="R9" i="1"/>
  <c r="N9" i="1"/>
  <c r="I9" i="1"/>
  <c r="K9" i="1" s="1"/>
  <c r="R8" i="1"/>
  <c r="N8" i="1"/>
  <c r="K8" i="1"/>
  <c r="I8" i="1"/>
  <c r="R7" i="1"/>
  <c r="N7" i="1"/>
  <c r="K7" i="1"/>
  <c r="I7" i="1"/>
</calcChain>
</file>

<file path=xl/sharedStrings.xml><?xml version="1.0" encoding="utf-8"?>
<sst xmlns="http://schemas.openxmlformats.org/spreadsheetml/2006/main" count="5652" uniqueCount="1996">
  <si>
    <t>Arunai Medical College and Hospital,Tiruvannamalai</t>
  </si>
  <si>
    <t xml:space="preserve">List of MBBS  Students for the Year  2021 - 22 </t>
  </si>
  <si>
    <t>S.No</t>
  </si>
  <si>
    <t>Merit No/ NEET Rank</t>
  </si>
  <si>
    <t>Name of the Student</t>
  </si>
  <si>
    <t>Sex</t>
  </si>
  <si>
    <t xml:space="preserve">Physically Handicapped </t>
  </si>
  <si>
    <t>Date of Birth (dd/mm/yyyy)</t>
  </si>
  <si>
    <t>Category</t>
  </si>
  <si>
    <t>Sub-Category</t>
  </si>
  <si>
    <t>Marks obtained 10+2(PCB)</t>
  </si>
  <si>
    <t>Maximum marks 10 +2 ( PCB)</t>
  </si>
  <si>
    <t xml:space="preserve">PCB Percentage </t>
  </si>
  <si>
    <t>Marks obtained 10+2( Eng)</t>
  </si>
  <si>
    <t>Maximum marks 10+2(Eng)</t>
  </si>
  <si>
    <t>English Percentage</t>
  </si>
  <si>
    <t xml:space="preserve">Entrance Exam name </t>
  </si>
  <si>
    <t xml:space="preserve">Mark obtained in Entrance Exam </t>
  </si>
  <si>
    <t>Maximum mark in Entrance Exam</t>
  </si>
  <si>
    <t xml:space="preserve">Entrance Exam Percentage </t>
  </si>
  <si>
    <t>Date of Admission</t>
  </si>
  <si>
    <t>Entrance Percentage</t>
  </si>
  <si>
    <t>NEET Roll No</t>
  </si>
  <si>
    <t>Fees Charged</t>
  </si>
  <si>
    <t>ABHINAYA SUNDHARAN M A</t>
  </si>
  <si>
    <t>Male</t>
  </si>
  <si>
    <t>No</t>
  </si>
  <si>
    <t>Mgmt.</t>
  </si>
  <si>
    <t>OBC</t>
  </si>
  <si>
    <t>NEET</t>
  </si>
  <si>
    <t>AISVARYAA V J</t>
  </si>
  <si>
    <t>Female</t>
  </si>
  <si>
    <t>Govt.</t>
  </si>
  <si>
    <t>AJAY K</t>
  </si>
  <si>
    <t>AKSHITHA VARSHINI J</t>
  </si>
  <si>
    <t>AMOGHASHREE J</t>
  </si>
  <si>
    <t>ANNAMALAI  P</t>
  </si>
  <si>
    <t>ANUVARSHINI A</t>
  </si>
  <si>
    <t xml:space="preserve"> 23-03-2022</t>
  </si>
  <si>
    <t>APARNESH R</t>
  </si>
  <si>
    <t>ARIVARASI D</t>
  </si>
  <si>
    <t>ARVIND S</t>
  </si>
  <si>
    <t>ASHVIKA RAJ A</t>
  </si>
  <si>
    <t>ASNA A</t>
  </si>
  <si>
    <t>SC</t>
  </si>
  <si>
    <t>ASVIKA K S</t>
  </si>
  <si>
    <t>BHAGGIYASHREE L</t>
  </si>
  <si>
    <t>BHARATHA PUTHRI M</t>
  </si>
  <si>
    <t>GEN-EWS</t>
  </si>
  <si>
    <t>BHUVANESHWARI K</t>
  </si>
  <si>
    <t>BRINDHA M</t>
  </si>
  <si>
    <t xml:space="preserve">Female </t>
  </si>
  <si>
    <t>CHANDRADEVI T</t>
  </si>
  <si>
    <t>CHANDRAMOHAN T S</t>
  </si>
  <si>
    <t xml:space="preserve">CHARITHA BOLLI </t>
  </si>
  <si>
    <t>GENERAL</t>
  </si>
  <si>
    <t>CHARULATHA T V</t>
  </si>
  <si>
    <t>DELWYN SARAH D</t>
  </si>
  <si>
    <t>DHANANJEYAN J</t>
  </si>
  <si>
    <t>DHANUSHYA G L</t>
  </si>
  <si>
    <t>DHARUNVISHAL V S</t>
  </si>
  <si>
    <t>DHATCHAYANI D</t>
  </si>
  <si>
    <t>DINESH M</t>
  </si>
  <si>
    <t>DURGESH K</t>
  </si>
  <si>
    <t>ERAIANBU M</t>
  </si>
  <si>
    <t>FAREENA BATHURUNISHA J</t>
  </si>
  <si>
    <t xml:space="preserve">No </t>
  </si>
  <si>
    <t>GAYATHRI G</t>
  </si>
  <si>
    <t>GESY JEBEZTA V</t>
  </si>
  <si>
    <t>GOKULKRISHNA V</t>
  </si>
  <si>
    <t>GOPIKA T</t>
  </si>
  <si>
    <t>GOVINDARAJ S</t>
  </si>
  <si>
    <t>GURU E</t>
  </si>
  <si>
    <t>HARINI J</t>
  </si>
  <si>
    <t>HARINI P</t>
  </si>
  <si>
    <t>HARSHINI PRIYAA K S</t>
  </si>
  <si>
    <t>HARSHINIPRIYA V</t>
  </si>
  <si>
    <t>HARSHITHA S</t>
  </si>
  <si>
    <t>HEMA G C</t>
  </si>
  <si>
    <t>HEMA M</t>
  </si>
  <si>
    <t>HEMANNATHA MOORTHI K A</t>
  </si>
  <si>
    <t>HIETAL T</t>
  </si>
  <si>
    <t>JAIASHWANTH R</t>
  </si>
  <si>
    <t xml:space="preserve">JALANTHRA C L S </t>
  </si>
  <si>
    <t>JANE CRISPIN J</t>
  </si>
  <si>
    <t>JAYADEVAN V</t>
  </si>
  <si>
    <t>JAYAGOPAL M R</t>
  </si>
  <si>
    <t>JAYAVARTHINI S</t>
  </si>
  <si>
    <t>ST</t>
  </si>
  <si>
    <t>JEEVIKA S</t>
  </si>
  <si>
    <t>JEEVITHA S</t>
  </si>
  <si>
    <t>JOSHIKA C</t>
  </si>
  <si>
    <t>KALIDASS M</t>
  </si>
  <si>
    <t>KARTHICK RAJA A</t>
  </si>
  <si>
    <t>KARTHIK D</t>
  </si>
  <si>
    <t>KAVYA N</t>
  </si>
  <si>
    <t>KEERTHANA K</t>
  </si>
  <si>
    <t>KEERTHANA R</t>
  </si>
  <si>
    <t>KEERTHIKA A</t>
  </si>
  <si>
    <t>KISHORE KANNAN A</t>
  </si>
  <si>
    <t>KISHORE LAKSHMANAN P</t>
  </si>
  <si>
    <t>KOMALA B S</t>
  </si>
  <si>
    <t>LAKSHMI PRIYA P</t>
  </si>
  <si>
    <t>LATHIKA A</t>
  </si>
  <si>
    <t>LEELA SAIRAM P</t>
  </si>
  <si>
    <t>LENIN R</t>
  </si>
  <si>
    <t>LOGESWARI S</t>
  </si>
  <si>
    <t>MADHUMITHA A</t>
  </si>
  <si>
    <t>MADHUMITHA K</t>
  </si>
  <si>
    <t xml:space="preserve">MANYA V </t>
  </si>
  <si>
    <t>MOHAMED ARSATH MUBEEN H</t>
  </si>
  <si>
    <t>MOHAMMED UWAISH A</t>
  </si>
  <si>
    <t>MONIKA S</t>
  </si>
  <si>
    <t xml:space="preserve">NEET </t>
  </si>
  <si>
    <t>MOUNIKA K</t>
  </si>
  <si>
    <t>NANDHINI RUTHRAKSHA THANGAVEL</t>
  </si>
  <si>
    <t>NAVEEN KUMAR P</t>
  </si>
  <si>
    <t>NITHYA SHREE K</t>
  </si>
  <si>
    <t>NIVEDHITHA A V</t>
  </si>
  <si>
    <t>PAARI SATHISH</t>
  </si>
  <si>
    <t xml:space="preserve">PARI POORNI N M </t>
  </si>
  <si>
    <t>PARIMALA G</t>
  </si>
  <si>
    <t>PAVINAN S</t>
  </si>
  <si>
    <t>PAVITHRA C</t>
  </si>
  <si>
    <t>PAVITHRA M</t>
  </si>
  <si>
    <t>PRAGNYA K S</t>
  </si>
  <si>
    <t xml:space="preserve">PRASANNA VENKATESH P </t>
  </si>
  <si>
    <t xml:space="preserve">Male </t>
  </si>
  <si>
    <t>PRATHIKSHA N</t>
  </si>
  <si>
    <t>PREETHA R</t>
  </si>
  <si>
    <t>PRIYA HASMITHA J</t>
  </si>
  <si>
    <t>RAAJA SREE B</t>
  </si>
  <si>
    <t>RAHAVI K</t>
  </si>
  <si>
    <t>RAJARAMAN N</t>
  </si>
  <si>
    <t>RAJIYASREE J</t>
  </si>
  <si>
    <t>RAMANAA N</t>
  </si>
  <si>
    <t>RANJINI D</t>
  </si>
  <si>
    <t>RANJITH M S</t>
  </si>
  <si>
    <t>REENA MARY P</t>
  </si>
  <si>
    <t>REKHA T</t>
  </si>
  <si>
    <t>RESHMA J</t>
  </si>
  <si>
    <t>REVATHI C</t>
  </si>
  <si>
    <t>RIMSHA AMBAR A</t>
  </si>
  <si>
    <t>RITHICK VARMA V</t>
  </si>
  <si>
    <t>RITHIGA C</t>
  </si>
  <si>
    <t>RUBHAN KUMAR N J</t>
  </si>
  <si>
    <t>RUBHAN SANKAR R</t>
  </si>
  <si>
    <t>RUKMANGATHAN T</t>
  </si>
  <si>
    <t xml:space="preserve">SADHANA S </t>
  </si>
  <si>
    <t>SAI VARSHAN S B</t>
  </si>
  <si>
    <t>SAKTHI SRE R T</t>
  </si>
  <si>
    <t>SAMBHAVI M B</t>
  </si>
  <si>
    <t>SAMRIDDHI P</t>
  </si>
  <si>
    <t>SANDHYA E</t>
  </si>
  <si>
    <t>SANGEETHA A</t>
  </si>
  <si>
    <t>SANJAIKUMAR T K</t>
  </si>
  <si>
    <t>SANJAIRAJ M</t>
  </si>
  <si>
    <t>SANTHOSH G M</t>
  </si>
  <si>
    <t>SASIDHARAN R</t>
  </si>
  <si>
    <t>SATHANA A</t>
  </si>
  <si>
    <t>SATHYA T</t>
  </si>
  <si>
    <t>SHARAN A</t>
  </si>
  <si>
    <t>SHEEBA S</t>
  </si>
  <si>
    <t>SHRIRAM R</t>
  </si>
  <si>
    <t xml:space="preserve">SILAMBARASI E </t>
  </si>
  <si>
    <t>SITHARA F</t>
  </si>
  <si>
    <t>SIVABALAJI S</t>
  </si>
  <si>
    <t>SOUNDHARIYA G</t>
  </si>
  <si>
    <t>SOWNDARYA G</t>
  </si>
  <si>
    <t>SREEVARDHINY V</t>
  </si>
  <si>
    <t>SRI VARSHINI B</t>
  </si>
  <si>
    <t>SRIDEVI R</t>
  </si>
  <si>
    <t>SRIDHAR A</t>
  </si>
  <si>
    <t>SRIGANESH T</t>
  </si>
  <si>
    <t>SRIKANTH R P</t>
  </si>
  <si>
    <t>SRIRAMAN D</t>
  </si>
  <si>
    <t>SURYA M</t>
  </si>
  <si>
    <t>SUSHIL KUMAR S</t>
  </si>
  <si>
    <t>SUVETHIGA V</t>
  </si>
  <si>
    <t>TANUSHA RUPA DARSHANI R</t>
  </si>
  <si>
    <t>THAMIZHAMUTHU V</t>
  </si>
  <si>
    <t>THANISHA I</t>
  </si>
  <si>
    <t>THARA CHANDRIKHA S</t>
  </si>
  <si>
    <t>THRISHA B</t>
  </si>
  <si>
    <t>VENMUGHIL S</t>
  </si>
  <si>
    <t>VIJAYAVENDHAN D</t>
  </si>
  <si>
    <t>VISHAL G</t>
  </si>
  <si>
    <t>VISHAL M</t>
  </si>
  <si>
    <t>VISHVA V</t>
  </si>
  <si>
    <t>YESHWANTH N</t>
  </si>
  <si>
    <t>List of Student's M.B.B.S for the Year 2022-2023 (NMC Format) Name of the Medical College : Arunai Medical College</t>
  </si>
  <si>
    <t>S.No.</t>
  </si>
  <si>
    <t>State</t>
  </si>
  <si>
    <t>College Name</t>
  </si>
  <si>
    <t>Merit                             Number</t>
  </si>
  <si>
    <t>Name of Students</t>
  </si>
  <si>
    <t>Gender</t>
  </si>
  <si>
    <t>Physically Handicapped</t>
  </si>
  <si>
    <r>
      <t xml:space="preserve">Date of Birth  </t>
    </r>
    <r>
      <rPr>
        <b/>
        <sz val="10"/>
        <color theme="1"/>
        <rFont val="Arial"/>
        <family val="2"/>
      </rPr>
      <t>DD/MM/YYYY</t>
    </r>
  </si>
  <si>
    <t>Marks Obtained/Maximum Marks in 10 +2 (PCB)</t>
  </si>
  <si>
    <t>PCB Percentage</t>
  </si>
  <si>
    <t>Marks Obtained/Maximum Marks in 10 +2 (English)</t>
  </si>
  <si>
    <t>English           Percentage</t>
  </si>
  <si>
    <t>Marks Obtained/Maximum Marks in NEET Entrance Exam</t>
  </si>
  <si>
    <t>NEET Entrance Exam Percentage</t>
  </si>
  <si>
    <r>
      <t xml:space="preserve">Date of Admission  </t>
    </r>
    <r>
      <rPr>
        <b/>
        <sz val="10"/>
        <color theme="1"/>
        <rFont val="Arial"/>
        <family val="2"/>
      </rPr>
      <t>DD/MM/YYYY</t>
    </r>
  </si>
  <si>
    <t>NEET                   Roll No.</t>
  </si>
  <si>
    <t>Tamil Nadu</t>
  </si>
  <si>
    <t>Arunai Medical College &amp; Hospital</t>
  </si>
  <si>
    <t>AADHI VIJAYA SRIRAM S</t>
  </si>
  <si>
    <t>BC</t>
  </si>
  <si>
    <t>ABINAYA C</t>
  </si>
  <si>
    <t>Management</t>
  </si>
  <si>
    <t>ABINAYAGAYATHRI M</t>
  </si>
  <si>
    <t>MBC/DNC</t>
  </si>
  <si>
    <t>ABIRAMI S</t>
  </si>
  <si>
    <t>AIMAN AMRAH K</t>
  </si>
  <si>
    <t>BCM</t>
  </si>
  <si>
    <t>AISHWARYA A</t>
  </si>
  <si>
    <t>AISHWARYA R</t>
  </si>
  <si>
    <t>AMALA PAUL RAJ A</t>
  </si>
  <si>
    <t>AMRITA BASKAR</t>
  </si>
  <si>
    <t>OC</t>
  </si>
  <si>
    <t>ARUN SIVESH D</t>
  </si>
  <si>
    <t>ARUNA JAYASHRI R</t>
  </si>
  <si>
    <t>ARUNA S</t>
  </si>
  <si>
    <t>ASHWIN BARATH S K</t>
  </si>
  <si>
    <t>BAALASURYAN V</t>
  </si>
  <si>
    <t>BALAJI S</t>
  </si>
  <si>
    <t>BHARATH S</t>
  </si>
  <si>
    <t>BHARATHWAJ T</t>
  </si>
  <si>
    <t>BHAVANEESHWARI S</t>
  </si>
  <si>
    <t>BHAVIYA NEAYA S</t>
  </si>
  <si>
    <t>BHUVANESH K V</t>
  </si>
  <si>
    <t>BHUVANESH P</t>
  </si>
  <si>
    <t>DEEPALAKSHMI S</t>
  </si>
  <si>
    <t>DEEPTHIKA KANNAN</t>
  </si>
  <si>
    <t>DEREK SAMUEL A</t>
  </si>
  <si>
    <t>DEVA RUBINI P</t>
  </si>
  <si>
    <t>DHARSHINI R</t>
  </si>
  <si>
    <t>DHEEKSHA S</t>
  </si>
  <si>
    <t>SCA</t>
  </si>
  <si>
    <t>DIVYA S</t>
  </si>
  <si>
    <t>ELAWARASI A</t>
  </si>
  <si>
    <t>GANESHKUMAR R</t>
  </si>
  <si>
    <t>GAYATHRI HIMAJAA M</t>
  </si>
  <si>
    <t>GOKUL ANAND A</t>
  </si>
  <si>
    <t>GOKUL D</t>
  </si>
  <si>
    <t>GOKULESH H</t>
  </si>
  <si>
    <t>GOPIKA I</t>
  </si>
  <si>
    <t>GOWTHAM S G</t>
  </si>
  <si>
    <t>GUNAVELAN C M</t>
  </si>
  <si>
    <t>HARIHARAN S</t>
  </si>
  <si>
    <t>HARINI S</t>
  </si>
  <si>
    <t>HARIPRASATH D</t>
  </si>
  <si>
    <t>HARISH D</t>
  </si>
  <si>
    <t>HARSHA B</t>
  </si>
  <si>
    <t>HARSHINI T</t>
  </si>
  <si>
    <t>31.10.2022</t>
  </si>
  <si>
    <t>HARSHITHA B</t>
  </si>
  <si>
    <t>JANASRI R</t>
  </si>
  <si>
    <t>JEBA CHRISTIHA M S</t>
  </si>
  <si>
    <t>JEYAPRADHA J</t>
  </si>
  <si>
    <t>JOEL ISAIAH P</t>
  </si>
  <si>
    <t>JOSE ARUL RAJ J</t>
  </si>
  <si>
    <t>JOTHIKA R</t>
  </si>
  <si>
    <t>KAAVIYA S</t>
  </si>
  <si>
    <t>KARTHIKA S</t>
  </si>
  <si>
    <t>KAVIYA G</t>
  </si>
  <si>
    <t>Govt. 7.5 RG</t>
  </si>
  <si>
    <t>KAVIYA S</t>
  </si>
  <si>
    <t>KEERTHI VARSHINI K</t>
  </si>
  <si>
    <t>KISHORE KUMAR B</t>
  </si>
  <si>
    <t>KISHORE S</t>
  </si>
  <si>
    <t>KISHORE V</t>
  </si>
  <si>
    <t>KISHORE VIKRAM V</t>
  </si>
  <si>
    <t>24.03.2004</t>
  </si>
  <si>
    <t>LAKSHMANARAJ C</t>
  </si>
  <si>
    <t>LEENA M N</t>
  </si>
  <si>
    <t>LOGESHWARAN K S</t>
  </si>
  <si>
    <t>LOKESH M</t>
  </si>
  <si>
    <t>MADHAVAN K S</t>
  </si>
  <si>
    <t>MADHUBALA B</t>
  </si>
  <si>
    <t>MITUN S</t>
  </si>
  <si>
    <t>MOULI S</t>
  </si>
  <si>
    <t>MOURIYA T</t>
  </si>
  <si>
    <t>NANDHINI SHREE U</t>
  </si>
  <si>
    <t>NARMATHAA R A</t>
  </si>
  <si>
    <t>NAVEEN AADHITHYA M J</t>
  </si>
  <si>
    <t>NIRANJAN VISHAL T M</t>
  </si>
  <si>
    <t>NITESH B</t>
  </si>
  <si>
    <t>NITHISH KUMAR R</t>
  </si>
  <si>
    <t>NIVETHA SREE S</t>
  </si>
  <si>
    <t>PANBARASI A</t>
  </si>
  <si>
    <t>PAVITHRA G</t>
  </si>
  <si>
    <t>POOJA P</t>
  </si>
  <si>
    <t>PRAGATHEESHVARAN A</t>
  </si>
  <si>
    <t>PRAJIT B</t>
  </si>
  <si>
    <t>PRAMIKA S</t>
  </si>
  <si>
    <t>PRAVIN KUMAR B</t>
  </si>
  <si>
    <t>PREETHI E</t>
  </si>
  <si>
    <t>RAJALAKSHMI R</t>
  </si>
  <si>
    <t>RESHMAH S</t>
  </si>
  <si>
    <t>RISHI KUMAR V</t>
  </si>
  <si>
    <t>RISHIBA K</t>
  </si>
  <si>
    <t>ROSHAN A</t>
  </si>
  <si>
    <t>SATHYA MOHAN P</t>
  </si>
  <si>
    <t>SELVAMARIYAN JONES C</t>
  </si>
  <si>
    <t>SHAALINI J</t>
  </si>
  <si>
    <t>SHAKTHI RAM L</t>
  </si>
  <si>
    <t>SHALINI R</t>
  </si>
  <si>
    <t>SHANMATHI B</t>
  </si>
  <si>
    <t>SHANMUGASUNDARI G</t>
  </si>
  <si>
    <t>SHIFANA FATHIMA N</t>
  </si>
  <si>
    <t>31-10.2022</t>
  </si>
  <si>
    <t>HSC ORIGINAL</t>
  </si>
  <si>
    <t>SHOBIKA E</t>
  </si>
  <si>
    <t>SHREE NAVANEETHAA E</t>
  </si>
  <si>
    <t>SHRIKRISHNA S</t>
  </si>
  <si>
    <t>SOWNDARAPRIYA N</t>
  </si>
  <si>
    <t>SRIJA C</t>
  </si>
  <si>
    <t>SRINIDHI J</t>
  </si>
  <si>
    <t>SRINIJAA SREE B N</t>
  </si>
  <si>
    <t>SRISARAN B</t>
  </si>
  <si>
    <t>SRIVATSAN J</t>
  </si>
  <si>
    <t>SUBHA CHANDRIKA S</t>
  </si>
  <si>
    <t>SUBHIKSHA M</t>
  </si>
  <si>
    <t>SUDHANKARTHI V</t>
  </si>
  <si>
    <t>04.11-2022</t>
  </si>
  <si>
    <t>SUDHARSANAN K P</t>
  </si>
  <si>
    <t>SUJITH V</t>
  </si>
  <si>
    <t xml:space="preserve">SUREKHA </t>
  </si>
  <si>
    <t>SURIYA PRAKASH B</t>
  </si>
  <si>
    <t>SURIYANARAYANAN R</t>
  </si>
  <si>
    <t>SUSHOMISHAL S</t>
  </si>
  <si>
    <t>SWETHA K</t>
  </si>
  <si>
    <t>THABRISH Y</t>
  </si>
  <si>
    <t>THAMIZHMOZHI V</t>
  </si>
  <si>
    <t>THARIK HUSSAIN J</t>
  </si>
  <si>
    <t>THARUN KUMAR S</t>
  </si>
  <si>
    <t>UBIKSHA J R</t>
  </si>
  <si>
    <t>VALLARASU K</t>
  </si>
  <si>
    <t>VARSHA K</t>
  </si>
  <si>
    <t>VASUKI S A</t>
  </si>
  <si>
    <t>VEDHASRI N</t>
  </si>
  <si>
    <t>VIGNESH N</t>
  </si>
  <si>
    <t>VIGNESHWARAN S</t>
  </si>
  <si>
    <t>VIJAY K</t>
  </si>
  <si>
    <t>VIKAASH T</t>
  </si>
  <si>
    <t>VISHNU BALA R</t>
  </si>
  <si>
    <t>YATHISH N</t>
  </si>
  <si>
    <t>YOGESWARI M</t>
  </si>
  <si>
    <t>YUGABHARATHI P</t>
  </si>
  <si>
    <t>YUTIKA P</t>
  </si>
  <si>
    <t>YUVASRI SHANMUGA SUNDARAM</t>
  </si>
  <si>
    <t>YUVASS S</t>
  </si>
  <si>
    <t>BHUVANESH K</t>
  </si>
  <si>
    <t>DURGA S</t>
  </si>
  <si>
    <t>JAYSURYA J</t>
  </si>
  <si>
    <t>KRISHNA KARTHI P K</t>
  </si>
  <si>
    <t>NIVETHA N</t>
  </si>
  <si>
    <t>not entry in mnc</t>
  </si>
  <si>
    <t>PRIYADHARSHINI R</t>
  </si>
  <si>
    <t>RAHUL S</t>
  </si>
  <si>
    <t>SUPRAJA VANI R V</t>
  </si>
  <si>
    <t>JANANI G S</t>
  </si>
  <si>
    <t>ASWIN KUMAR S</t>
  </si>
  <si>
    <t>KOMALKISHAN S</t>
  </si>
  <si>
    <t>KEERTHANA SRI V M</t>
  </si>
  <si>
    <t>GAYATHRI E</t>
  </si>
  <si>
    <t>DEEBIKA S</t>
  </si>
  <si>
    <t>MBC</t>
  </si>
  <si>
    <t>ARUNAI MEDICAL COLLEGE AND HOSPITAL 
 Approved by National Medical commission,New Delhi.
 Affiliated to the Tamilnadu Dr. M.G.R Medical University,chennai.
 Velu Nagar, Thenmathur,Tiruvannamalai- 606 603.
 Phone:0417- 256256, e-mail:arunaimedicalcollege@amctvm.org</t>
  </si>
  <si>
    <t>MBBS FIRST YEAR STUDENTS LIST (2023 - 2024)</t>
  </si>
  <si>
    <t>S.NO</t>
  </si>
  <si>
    <t>REG.NO</t>
  </si>
  <si>
    <t xml:space="preserve">APP.NO </t>
  </si>
  <si>
    <t>NAME</t>
  </si>
  <si>
    <t>GENDER</t>
  </si>
  <si>
    <t>DOJ</t>
  </si>
  <si>
    <t>MARK</t>
  </si>
  <si>
    <t>QUOTA</t>
  </si>
  <si>
    <t>COMMUNITY</t>
  </si>
  <si>
    <t>DOB</t>
  </si>
  <si>
    <t>FATHER NAME</t>
  </si>
  <si>
    <t>MOTHER NAME</t>
  </si>
  <si>
    <t>STUDENT NUMBER</t>
  </si>
  <si>
    <t>FATHER NUMBER</t>
  </si>
  <si>
    <t>MOTHER NUMBER</t>
  </si>
  <si>
    <t>23UG811255</t>
  </si>
  <si>
    <t>AANANTHA BAIRAVI R S</t>
  </si>
  <si>
    <t>FEMALE</t>
  </si>
  <si>
    <t>GQ</t>
  </si>
  <si>
    <t>SURESHKUMAR</t>
  </si>
  <si>
    <t>SASIKALA</t>
  </si>
  <si>
    <t>23UG810913</t>
  </si>
  <si>
    <t>AAVDOOTH NANASO JADHAV</t>
  </si>
  <si>
    <t>MALE</t>
  </si>
  <si>
    <t>NANASO</t>
  </si>
  <si>
    <t>MEENAKSHI</t>
  </si>
  <si>
    <t>23UG907467</t>
  </si>
  <si>
    <t>ABINAYA B</t>
  </si>
  <si>
    <r>
      <rPr>
        <sz val="14"/>
        <rFont val="Times New Roman"/>
        <family val="1"/>
      </rPr>
      <t>Telugu
Minority</t>
    </r>
  </si>
  <si>
    <t>MBC&amp;DNC</t>
  </si>
  <si>
    <t>BABU</t>
  </si>
  <si>
    <t>JAYAPRIYA</t>
  </si>
  <si>
    <t>9841221340/8610646205</t>
  </si>
  <si>
    <t>23UG907932</t>
  </si>
  <si>
    <t xml:space="preserve">ABINAYA T P </t>
  </si>
  <si>
    <t>PURUSHOTHAMAN</t>
  </si>
  <si>
    <t>SUDHA</t>
  </si>
  <si>
    <t>23UG908841</t>
  </si>
  <si>
    <t xml:space="preserve">ABINESH S </t>
  </si>
  <si>
    <t>SWAMINATHAN N</t>
  </si>
  <si>
    <t>ANANTHI</t>
  </si>
  <si>
    <t>23UG902231</t>
  </si>
  <si>
    <t>ADHILAKSHMI M</t>
  </si>
  <si>
    <t>MQ</t>
  </si>
  <si>
    <r>
      <rPr>
        <sz val="14"/>
        <rFont val="Times New Roman"/>
        <family val="1"/>
      </rPr>
      <t>MBC&amp;
DNC</t>
    </r>
  </si>
  <si>
    <t>MOHAN</t>
  </si>
  <si>
    <t>MANJULA</t>
  </si>
  <si>
    <t>23UG805981</t>
  </si>
  <si>
    <t>AKALYA S</t>
  </si>
  <si>
    <t>SUBRAMANIAN</t>
  </si>
  <si>
    <t>PARAMESHWARI</t>
  </si>
  <si>
    <t>9486780466/9786828579</t>
  </si>
  <si>
    <t>23UG824052</t>
  </si>
  <si>
    <t>AKHILA G NAIR</t>
  </si>
  <si>
    <t>GIRISH KUMAR</t>
  </si>
  <si>
    <t>SMITHA GIRISH</t>
  </si>
  <si>
    <t>23UG902370</t>
  </si>
  <si>
    <t>AKSHITH A S</t>
  </si>
  <si>
    <t>NRI(LAPSED)</t>
  </si>
  <si>
    <t>AHILAN</t>
  </si>
  <si>
    <t>SUJAMANIMALAR</t>
  </si>
  <si>
    <t>23UG913832</t>
  </si>
  <si>
    <t>AMARAVATHI S</t>
  </si>
  <si>
    <t>M SELLAN</t>
  </si>
  <si>
    <t>PARVATHI</t>
  </si>
  <si>
    <t>7418027934/9786236408</t>
  </si>
  <si>
    <t>ANAKHA REGHU</t>
  </si>
  <si>
    <t>23UG813483</t>
  </si>
  <si>
    <t>ANNU SHREE B K</t>
  </si>
  <si>
    <t>BALAKRISHANA</t>
  </si>
  <si>
    <t>VENKATALAKSHMI</t>
  </si>
  <si>
    <t>23UG911044</t>
  </si>
  <si>
    <t>ANTONY ASASI A</t>
  </si>
  <si>
    <t>C ARULANANDHAM</t>
  </si>
  <si>
    <t>ANNAMMAL</t>
  </si>
  <si>
    <t>23UG806818</t>
  </si>
  <si>
    <t>ARUNACHALA A</t>
  </si>
  <si>
    <t>ARAVINDHAN N</t>
  </si>
  <si>
    <t>KARPAGAM</t>
  </si>
  <si>
    <t>23UG810762</t>
  </si>
  <si>
    <t xml:space="preserve">BABITHA R V </t>
  </si>
  <si>
    <t>RAJAKUMAR</t>
  </si>
  <si>
    <t>VIJAYAKUMARI</t>
  </si>
  <si>
    <t>23UG803234</t>
  </si>
  <si>
    <t>BALAJI M J</t>
  </si>
  <si>
    <t>JEYARAMAN</t>
  </si>
  <si>
    <t>BHANIREGHA</t>
  </si>
  <si>
    <t>23UG907528</t>
  </si>
  <si>
    <t>BALIJAPALLI DEVIKA</t>
  </si>
  <si>
    <t>23UG812954</t>
  </si>
  <si>
    <t>BARANIDHARAN V</t>
  </si>
  <si>
    <t>VENKATESAN</t>
  </si>
  <si>
    <t>JAYACHITRA</t>
  </si>
  <si>
    <t>23UG909221</t>
  </si>
  <si>
    <t>BHALAKUMARAN M</t>
  </si>
  <si>
    <t xml:space="preserve">MAHENDIRAN </t>
  </si>
  <si>
    <t>BHARATHI</t>
  </si>
  <si>
    <t>23UG913234</t>
  </si>
  <si>
    <t>BHUVAN CHAND J</t>
  </si>
  <si>
    <t>-</t>
  </si>
  <si>
    <t>JEEVA</t>
  </si>
  <si>
    <t>23UG816195</t>
  </si>
  <si>
    <t>CHINNA M</t>
  </si>
  <si>
    <t>MUNIRATHINAM</t>
  </si>
  <si>
    <t>AGILA</t>
  </si>
  <si>
    <t>23UG901655</t>
  </si>
  <si>
    <t>SOWNDHARYA M</t>
  </si>
  <si>
    <t>MURUGAN K</t>
  </si>
  <si>
    <t xml:space="preserve">INDRA </t>
  </si>
  <si>
    <t>23UG808921</t>
  </si>
  <si>
    <t>DHANUSH K</t>
  </si>
  <si>
    <t>KUMAR</t>
  </si>
  <si>
    <t>SUMATHI</t>
  </si>
  <si>
    <t>23UG816335</t>
  </si>
  <si>
    <t>DHANUSH KUMAR S</t>
  </si>
  <si>
    <t>SARAVANAN P</t>
  </si>
  <si>
    <t>RAOHAMANI</t>
  </si>
  <si>
    <t>23UG804677</t>
  </si>
  <si>
    <t>DHANUSHYA S</t>
  </si>
  <si>
    <t>SARUGUNAN</t>
  </si>
  <si>
    <t>JANAKI</t>
  </si>
  <si>
    <t>9361099011/9597921716</t>
  </si>
  <si>
    <t>23UG910130</t>
  </si>
  <si>
    <t>DHARMESH A</t>
  </si>
  <si>
    <t>ARUL</t>
  </si>
  <si>
    <t>DEVI</t>
  </si>
  <si>
    <t>23UG805578</t>
  </si>
  <si>
    <t>DHARSHINI L</t>
  </si>
  <si>
    <t xml:space="preserve">LOGANATHAN J </t>
  </si>
  <si>
    <t>VIDHYA</t>
  </si>
  <si>
    <t>9787689818/8072183582</t>
  </si>
  <si>
    <t>23UG801741</t>
  </si>
  <si>
    <t>DHARUNIKA M</t>
  </si>
  <si>
    <t>MOORTHY</t>
  </si>
  <si>
    <t>PADMA</t>
  </si>
  <si>
    <t>23UG823793</t>
  </si>
  <si>
    <t>DHAVASREE A B</t>
  </si>
  <si>
    <t>BALAKRISHANAN</t>
  </si>
  <si>
    <t>THAVACHELVI</t>
  </si>
  <si>
    <t>9486306797/9667099550</t>
  </si>
  <si>
    <t>23UG815437</t>
  </si>
  <si>
    <t>DHINESH E</t>
  </si>
  <si>
    <t>7.5 RQ</t>
  </si>
  <si>
    <t>MBC&amp; DNC</t>
  </si>
  <si>
    <t>ELUMALAI</t>
  </si>
  <si>
    <t>PERIYANAYAKI</t>
  </si>
  <si>
    <t>23UG814173</t>
  </si>
  <si>
    <t>DINESH RAJA B</t>
  </si>
  <si>
    <t>BARATHI RAJA R</t>
  </si>
  <si>
    <t>SHARMILA BANU</t>
  </si>
  <si>
    <t>23UG902376</t>
  </si>
  <si>
    <t>SURESHKUMAR G</t>
  </si>
  <si>
    <t>RAMYA</t>
  </si>
  <si>
    <t>23UG909243</t>
  </si>
  <si>
    <t>DURGADEVI M</t>
  </si>
  <si>
    <t>MANI C</t>
  </si>
  <si>
    <t>BANUMATHI</t>
  </si>
  <si>
    <t>23UG912903</t>
  </si>
  <si>
    <t>GNANESH R</t>
  </si>
  <si>
    <t>RAVICHANDHAR</t>
  </si>
  <si>
    <t>DURGA DEVI</t>
  </si>
  <si>
    <t>23UG818019</t>
  </si>
  <si>
    <t>GOKUL R</t>
  </si>
  <si>
    <t>RAJASEKAR</t>
  </si>
  <si>
    <t>23UG806617</t>
  </si>
  <si>
    <t>GOPIKA B</t>
  </si>
  <si>
    <t>BALAMURUGAN</t>
  </si>
  <si>
    <t>NALINI</t>
  </si>
  <si>
    <t>_</t>
  </si>
  <si>
    <t>9655599438/9344776320</t>
  </si>
  <si>
    <t>23UG901057</t>
  </si>
  <si>
    <t>GOWRI SHANKAR JAYAPRAKASH</t>
  </si>
  <si>
    <t xml:space="preserve">JAYAPRAKASH S </t>
  </si>
  <si>
    <t xml:space="preserve">CHENCHU LAKSHMI </t>
  </si>
  <si>
    <t>23UG903314</t>
  </si>
  <si>
    <t>GUNASEELAN B</t>
  </si>
  <si>
    <t>CHANDRARANI</t>
  </si>
  <si>
    <t>23UG814769</t>
  </si>
  <si>
    <t>HAADIKA HAAFRIN S</t>
  </si>
  <si>
    <t>SHAMSUDEEN</t>
  </si>
  <si>
    <t>23UG901577</t>
  </si>
  <si>
    <t>HARIHARAN R R</t>
  </si>
  <si>
    <t>RAMANATHAN R</t>
  </si>
  <si>
    <t>23UG903715</t>
  </si>
  <si>
    <t>HARIKA T</t>
  </si>
  <si>
    <t>THULASIRAMAN</t>
  </si>
  <si>
    <t>VARALAKSHMI</t>
  </si>
  <si>
    <t>23UG907422</t>
  </si>
  <si>
    <t>HARINI A</t>
  </si>
  <si>
    <t>ANNADURAI</t>
  </si>
  <si>
    <t>CHITRADEVI</t>
  </si>
  <si>
    <t>23UG813020</t>
  </si>
  <si>
    <t>HARINI R</t>
  </si>
  <si>
    <t>RAJESHKANNAN</t>
  </si>
  <si>
    <t>SATHIYA</t>
  </si>
  <si>
    <t>23UG900615</t>
  </si>
  <si>
    <t>HARINI SRI D</t>
  </si>
  <si>
    <t>DHINAGARAN N</t>
  </si>
  <si>
    <t>23UG905482</t>
  </si>
  <si>
    <t>HARISH BALAJI L</t>
  </si>
  <si>
    <t>LAKSMIPATHY</t>
  </si>
  <si>
    <t>UMAMAHESHWARI</t>
  </si>
  <si>
    <t>23UG816005</t>
  </si>
  <si>
    <t>HARISSH S</t>
  </si>
  <si>
    <t>SIVAKUMAR</t>
  </si>
  <si>
    <t>23UG814072</t>
  </si>
  <si>
    <t>HARSSAVARTHINI V</t>
  </si>
  <si>
    <t>VITHIYA</t>
  </si>
  <si>
    <t>23UG801611</t>
  </si>
  <si>
    <t>JAGADEESH KUMAR G</t>
  </si>
  <si>
    <t>GOVINDARAJ</t>
  </si>
  <si>
    <t>MANIMEGALAI</t>
  </si>
  <si>
    <t>9944844583/9080415070</t>
  </si>
  <si>
    <t>23UG915480</t>
  </si>
  <si>
    <t>JAHAN D</t>
  </si>
  <si>
    <t>DURAI</t>
  </si>
  <si>
    <t>RAJESHWARI</t>
  </si>
  <si>
    <t>23UG902266</t>
  </si>
  <si>
    <t>JANIKAA K</t>
  </si>
  <si>
    <t xml:space="preserve">KANNAN V </t>
  </si>
  <si>
    <t>HEMA</t>
  </si>
  <si>
    <t>9952644103/9443976103</t>
  </si>
  <si>
    <t>23UG907777</t>
  </si>
  <si>
    <t>JASHVEER</t>
  </si>
  <si>
    <t>LOGANATHAN A P S</t>
  </si>
  <si>
    <t>NAGINI D</t>
  </si>
  <si>
    <t>23UG905478</t>
  </si>
  <si>
    <t>JAVITH AHAMED K</t>
  </si>
  <si>
    <t>KADAR BASHA H</t>
  </si>
  <si>
    <t>NAGIRA BEGUM</t>
  </si>
  <si>
    <t>23UG909935</t>
  </si>
  <si>
    <t>JAYAHARINI V</t>
  </si>
  <si>
    <t>VIMALRAM</t>
  </si>
  <si>
    <t>NISHA</t>
  </si>
  <si>
    <t>9443039311/9025239193</t>
  </si>
  <si>
    <t>23UG908758</t>
  </si>
  <si>
    <t>JEEVA PRASANNA P</t>
  </si>
  <si>
    <t>PERIASAMY</t>
  </si>
  <si>
    <t>KARTHEESWARI</t>
  </si>
  <si>
    <t>23UG901873</t>
  </si>
  <si>
    <t>JEEVAVARSHINI V</t>
  </si>
  <si>
    <t>UMAKANTHAN</t>
  </si>
  <si>
    <t>YAAZHINI</t>
  </si>
  <si>
    <t>23UG813178</t>
  </si>
  <si>
    <t>JEYA MEGNA V</t>
  </si>
  <si>
    <t>VENKATA KRISHNAN</t>
  </si>
  <si>
    <t>KAVITHA</t>
  </si>
  <si>
    <t>23UG814667</t>
  </si>
  <si>
    <t>JEYCIK SAMSON SELVIN P</t>
  </si>
  <si>
    <t>PATRICK DHARMARAJAN</t>
  </si>
  <si>
    <t>AMSA ARPUTHAM JUILET</t>
  </si>
  <si>
    <t>8667448676/9445463715</t>
  </si>
  <si>
    <t>23UG902348</t>
  </si>
  <si>
    <t>KAUSHIK G</t>
  </si>
  <si>
    <t>GOPAL</t>
  </si>
  <si>
    <t>CHITRA</t>
  </si>
  <si>
    <t>23UG909370</t>
  </si>
  <si>
    <t>KAVIN PANDIAN V</t>
  </si>
  <si>
    <t>VELMURUGAN</t>
  </si>
  <si>
    <t>MAHARIKA</t>
  </si>
  <si>
    <t>23UG821714</t>
  </si>
  <si>
    <t>KAVYA S</t>
  </si>
  <si>
    <t>SELVAM K</t>
  </si>
  <si>
    <t>23UG802589</t>
  </si>
  <si>
    <t>SUBRAMANI</t>
  </si>
  <si>
    <t>MUTHU IRULAYEE</t>
  </si>
  <si>
    <t>23UG807532</t>
  </si>
  <si>
    <t>KEERTHANA S</t>
  </si>
  <si>
    <t>23UG903579</t>
  </si>
  <si>
    <t>KIRUBA SHANKAR B</t>
  </si>
  <si>
    <t>BALSAMY</t>
  </si>
  <si>
    <t>23UG818670</t>
  </si>
  <si>
    <t>KOVENDHAN M</t>
  </si>
  <si>
    <t>MAINDHAN</t>
  </si>
  <si>
    <t>PARIMALA</t>
  </si>
  <si>
    <t>23UG912807</t>
  </si>
  <si>
    <t>KRITHIKHA SURESH</t>
  </si>
  <si>
    <t>SURESH</t>
  </si>
  <si>
    <t>SRILATHA</t>
  </si>
  <si>
    <t>23UG804398</t>
  </si>
  <si>
    <t>MADHUMITHA C</t>
  </si>
  <si>
    <t>CHANDRAN</t>
  </si>
  <si>
    <t>MALARVIZHI</t>
  </si>
  <si>
    <t>9994963300/8825830383</t>
  </si>
  <si>
    <t>23UG809629</t>
  </si>
  <si>
    <t xml:space="preserve">MEENAKSHI P L </t>
  </si>
  <si>
    <t xml:space="preserve">GQ </t>
  </si>
  <si>
    <t>PALANIAPPAN</t>
  </si>
  <si>
    <t>GEETHA</t>
  </si>
  <si>
    <t>23UG812536</t>
  </si>
  <si>
    <t>MIGIR VASSAN S</t>
  </si>
  <si>
    <t>SRINIVASAN</t>
  </si>
  <si>
    <t>JAYAKUMARI</t>
  </si>
  <si>
    <t>23UG821307</t>
  </si>
  <si>
    <t>MOHAMED NADHIM S</t>
  </si>
  <si>
    <t xml:space="preserve">SHAHUL HAMEED </t>
  </si>
  <si>
    <t>SAFAR NISA</t>
  </si>
  <si>
    <t>23UG813061</t>
  </si>
  <si>
    <t>MOHANAPRIYA P</t>
  </si>
  <si>
    <t>PAMANATHAN</t>
  </si>
  <si>
    <t>23UG908199</t>
  </si>
  <si>
    <t>MOHANASAI K</t>
  </si>
  <si>
    <t>KRISHNAMOORTHY</t>
  </si>
  <si>
    <t>REKHA</t>
  </si>
  <si>
    <t>7010523709/9600260046</t>
  </si>
  <si>
    <t>23UG803718</t>
  </si>
  <si>
    <t>MONISHA R K</t>
  </si>
  <si>
    <t>KAMARAJ</t>
  </si>
  <si>
    <t>MADURAM</t>
  </si>
  <si>
    <t>23UG821083</t>
  </si>
  <si>
    <t>MUGILANSRI M</t>
  </si>
  <si>
    <t>MURUGAN</t>
  </si>
  <si>
    <t>SARASWATHI</t>
  </si>
  <si>
    <t>23UG800365</t>
  </si>
  <si>
    <t>MURALIDHARAN K</t>
  </si>
  <si>
    <t xml:space="preserve">KALIYAMOORTHY M </t>
  </si>
  <si>
    <t xml:space="preserve">JOTHI </t>
  </si>
  <si>
    <t>23UG910694</t>
  </si>
  <si>
    <t>MYTHESH KUMAR S</t>
  </si>
  <si>
    <t>SHANKAR</t>
  </si>
  <si>
    <t>SHENBAGAVALLI</t>
  </si>
  <si>
    <t>23UG816109</t>
  </si>
  <si>
    <t>NANDHINI K</t>
  </si>
  <si>
    <t>PARMASHWARI</t>
  </si>
  <si>
    <t>23UG905012</t>
  </si>
  <si>
    <t xml:space="preserve">NILA VAISHNAVI P </t>
  </si>
  <si>
    <t>S PRABHAKARAN</t>
  </si>
  <si>
    <t>VANITHA P</t>
  </si>
  <si>
    <t>23UG811691</t>
  </si>
  <si>
    <t>NISHANTH B</t>
  </si>
  <si>
    <t>AMUTHA</t>
  </si>
  <si>
    <t>23UG815627</t>
  </si>
  <si>
    <t>NITISH VELMURUGAN</t>
  </si>
  <si>
    <t>ESAKKIAMMAI</t>
  </si>
  <si>
    <t>23UG819398</t>
  </si>
  <si>
    <t>NIVEDHA S</t>
  </si>
  <si>
    <t>SELVARAJ</t>
  </si>
  <si>
    <t>SELVI</t>
  </si>
  <si>
    <t>8300047578/8778350602</t>
  </si>
  <si>
    <t>23UG817018</t>
  </si>
  <si>
    <t>PANKAJ KUMAR T</t>
  </si>
  <si>
    <t>THIRUNAVUKKARASU</t>
  </si>
  <si>
    <t>SASIREKHA</t>
  </si>
  <si>
    <t>23UG907477</t>
  </si>
  <si>
    <t>DEIVANI</t>
  </si>
  <si>
    <t>23UG903450</t>
  </si>
  <si>
    <t>PAVVITHRA GANESAN</t>
  </si>
  <si>
    <t>GANESAN</t>
  </si>
  <si>
    <t>GAYATHRI</t>
  </si>
  <si>
    <t>23UG900473</t>
  </si>
  <si>
    <t>PRAGATI S</t>
  </si>
  <si>
    <t>SANKARA NARAYANAN</t>
  </si>
  <si>
    <t>KRISHNA</t>
  </si>
  <si>
    <t>23UG911161</t>
  </si>
  <si>
    <t>PRATHIKA M</t>
  </si>
  <si>
    <t>MURALI</t>
  </si>
  <si>
    <t>PREMA</t>
  </si>
  <si>
    <t>23UG905135</t>
  </si>
  <si>
    <t>PRINCE PREETHAM. X</t>
  </si>
  <si>
    <t>XAVIER GEORGE</t>
  </si>
  <si>
    <t>KUMARI XAVIER</t>
  </si>
  <si>
    <t>NRI LAPSED</t>
  </si>
  <si>
    <t>RAJENDIRAN G</t>
  </si>
  <si>
    <t>23UG822012</t>
  </si>
  <si>
    <t>PRIYADHARSHINI B</t>
  </si>
  <si>
    <t>BASKAR V</t>
  </si>
  <si>
    <t>VANITHA</t>
  </si>
  <si>
    <t>23UG804715</t>
  </si>
  <si>
    <t>PRIYANKA M</t>
  </si>
  <si>
    <t>MUNIYAPPAN</t>
  </si>
  <si>
    <t>AMBIGA</t>
  </si>
  <si>
    <t>23UG903946</t>
  </si>
  <si>
    <t>PUVASTHANAPOORANI A</t>
  </si>
  <si>
    <t xml:space="preserve">ANBALAGAN R </t>
  </si>
  <si>
    <t>KALAIYARASI</t>
  </si>
  <si>
    <t>9443073254/8778538399</t>
  </si>
  <si>
    <t>23UG905389</t>
  </si>
  <si>
    <t>RAGAVAN K S</t>
  </si>
  <si>
    <t>SERALATHAN</t>
  </si>
  <si>
    <t>SUJATHA</t>
  </si>
  <si>
    <t>23UG804861</t>
  </si>
  <si>
    <t>RAGAVI D</t>
  </si>
  <si>
    <t>DESINGU</t>
  </si>
  <si>
    <t>KALAIVANI</t>
  </si>
  <si>
    <t>23UG911457</t>
  </si>
  <si>
    <t>RAGHUL S</t>
  </si>
  <si>
    <t>SIVA</t>
  </si>
  <si>
    <t>23UG810618</t>
  </si>
  <si>
    <t xml:space="preserve">RAHUL D </t>
  </si>
  <si>
    <t>D DAKSHINAMOORTHY</t>
  </si>
  <si>
    <t>SANTHI</t>
  </si>
  <si>
    <t>23UG902227</t>
  </si>
  <si>
    <t>RAJESWARI S</t>
  </si>
  <si>
    <t xml:space="preserve">SUBARAYALLU R </t>
  </si>
  <si>
    <t>DHANAM</t>
  </si>
  <si>
    <t>23UG808954</t>
  </si>
  <si>
    <t>RAKESH B</t>
  </si>
  <si>
    <t>BALASUNDARAM</t>
  </si>
  <si>
    <t>JAYANTHI</t>
  </si>
  <si>
    <t>23UG812639</t>
  </si>
  <si>
    <t>REVANTHIKA ASHOK</t>
  </si>
  <si>
    <t xml:space="preserve"> ASHOK G R</t>
  </si>
  <si>
    <t>SATHYA</t>
  </si>
  <si>
    <t>23UG901351</t>
  </si>
  <si>
    <t>RISHITHA SANTHOSHI T M</t>
  </si>
  <si>
    <t>MAHESH SARAVANA PERUMAL</t>
  </si>
  <si>
    <t>PADMAPRIYA</t>
  </si>
  <si>
    <t>9843157157/8248609740</t>
  </si>
  <si>
    <t>23UG905973</t>
  </si>
  <si>
    <t>RITHIKA S</t>
  </si>
  <si>
    <t>SENTHILVELAN</t>
  </si>
  <si>
    <t>KALPANA</t>
  </si>
  <si>
    <t>23UG820781</t>
  </si>
  <si>
    <t>RIYASANA S</t>
  </si>
  <si>
    <t>23UG906112</t>
  </si>
  <si>
    <t>ROHITH BHUSHAN P</t>
  </si>
  <si>
    <t>PENUMAKA SEENU</t>
  </si>
  <si>
    <t>NAMITHA</t>
  </si>
  <si>
    <t>23UG803591</t>
  </si>
  <si>
    <t>RUDHRAAGOWRES S</t>
  </si>
  <si>
    <t>SABAPATHI</t>
  </si>
  <si>
    <t xml:space="preserve">SIVA PRIYA </t>
  </si>
  <si>
    <t>23UG901657</t>
  </si>
  <si>
    <t>SABARI G B</t>
  </si>
  <si>
    <t xml:space="preserve">JAYABHARATHI </t>
  </si>
  <si>
    <t>23UG905545</t>
  </si>
  <si>
    <t>SABEENA  A</t>
  </si>
  <si>
    <t>SYED AFROZE</t>
  </si>
  <si>
    <t>AFSANA BEGAM</t>
  </si>
  <si>
    <t>23UG812587</t>
  </si>
  <si>
    <t>SAKTHI DEVI N</t>
  </si>
  <si>
    <t>NALLASIVAM</t>
  </si>
  <si>
    <t>SHANTHI</t>
  </si>
  <si>
    <t>7010269699/8668060691</t>
  </si>
  <si>
    <t>23UG821087</t>
  </si>
  <si>
    <t>SAKTHIVEL S</t>
  </si>
  <si>
    <t>SOUNDARAJAN S</t>
  </si>
  <si>
    <t xml:space="preserve">PRABAVATHI </t>
  </si>
  <si>
    <t>23UG910980</t>
  </si>
  <si>
    <t>SANDHIYA R A</t>
  </si>
  <si>
    <t>RAMAMOORTHY</t>
  </si>
  <si>
    <t>23UG901648</t>
  </si>
  <si>
    <t>SARANKUMAR S</t>
  </si>
  <si>
    <t>23UG821996</t>
  </si>
  <si>
    <t>SATHISH KUMAR A</t>
  </si>
  <si>
    <t>ANBU</t>
  </si>
  <si>
    <t>23UG823224</t>
  </si>
  <si>
    <t>SELVASANJAY V R</t>
  </si>
  <si>
    <t>RATHINAVEL</t>
  </si>
  <si>
    <t>SELVANAYAGAM</t>
  </si>
  <si>
    <t>23UG813857</t>
  </si>
  <si>
    <t>SHAALINI M</t>
  </si>
  <si>
    <t>S MOHAN RAJ</t>
  </si>
  <si>
    <t>GURU LAKSHMI</t>
  </si>
  <si>
    <t>23UG914215</t>
  </si>
  <si>
    <t xml:space="preserve">SHARINI E </t>
  </si>
  <si>
    <t>ELANGO</t>
  </si>
  <si>
    <t>LASHA LAKSHMI KANTHAM</t>
  </si>
  <si>
    <t xml:space="preserve"> `                                                                                                                                   </t>
  </si>
  <si>
    <t>23UG900359</t>
  </si>
  <si>
    <t>SHIVANI J</t>
  </si>
  <si>
    <t xml:space="preserve">JANARTHANAN </t>
  </si>
  <si>
    <t>KALA</t>
  </si>
  <si>
    <t>23UG914623</t>
  </si>
  <si>
    <t>SHOBANA SRI S V</t>
  </si>
  <si>
    <t>ABIRAMI</t>
  </si>
  <si>
    <t>23UG909227</t>
  </si>
  <si>
    <t>SINDHIYA R</t>
  </si>
  <si>
    <t>RAJENDRAN K R</t>
  </si>
  <si>
    <t>23UG906990</t>
  </si>
  <si>
    <t>SINGIRI NIKITHA</t>
  </si>
  <si>
    <t>PENCHALA RATHNAIDH</t>
  </si>
  <si>
    <t>BHAGYALAKSHMI</t>
  </si>
  <si>
    <t>23UG808110</t>
  </si>
  <si>
    <t>SOUNDARIYA S</t>
  </si>
  <si>
    <t>SENTHILMURUGAN</t>
  </si>
  <si>
    <t>THAMIZHMANAM</t>
  </si>
  <si>
    <t>23UG902531</t>
  </si>
  <si>
    <t>SUBASRI T</t>
  </si>
  <si>
    <t>THATCHANAMURTHY</t>
  </si>
  <si>
    <t>VINOTHINI</t>
  </si>
  <si>
    <t>23UG909827</t>
  </si>
  <si>
    <t>SRI SWETHA S</t>
  </si>
  <si>
    <t>SENTHILKUMAR</t>
  </si>
  <si>
    <t>23UG900985</t>
  </si>
  <si>
    <t>SRI VAASHINI A P</t>
  </si>
  <si>
    <t>AYYANAR</t>
  </si>
  <si>
    <t>POONGODI AYYANAR</t>
  </si>
  <si>
    <t>23UG825479</t>
  </si>
  <si>
    <t>SRIPRANAV B</t>
  </si>
  <si>
    <t>BALASUBRAMANIAN</t>
  </si>
  <si>
    <t>VENI</t>
  </si>
  <si>
    <t>23UG905161</t>
  </si>
  <si>
    <t>SRUTHI  S</t>
  </si>
  <si>
    <t>SENTHIL KUMAR</t>
  </si>
  <si>
    <t xml:space="preserve">BHARATHI </t>
  </si>
  <si>
    <t>23UG905160</t>
  </si>
  <si>
    <t>DEVASARAN E</t>
  </si>
  <si>
    <t>THENDRAL</t>
  </si>
  <si>
    <t>23UG807759</t>
  </si>
  <si>
    <t>SUBHADHARSHANI R</t>
  </si>
  <si>
    <t>RAVI R</t>
  </si>
  <si>
    <t>USHARANI</t>
  </si>
  <si>
    <t>23UG800108</t>
  </si>
  <si>
    <t>SUBHIKSHA V</t>
  </si>
  <si>
    <t>VILLALAN</t>
  </si>
  <si>
    <t>KRISHNAVENI</t>
  </si>
  <si>
    <t>23UG911614</t>
  </si>
  <si>
    <t xml:space="preserve">SUGANDHAN V </t>
  </si>
  <si>
    <t>VELU</t>
  </si>
  <si>
    <t>23UG818364</t>
  </si>
  <si>
    <t>SUGESHWARAN D</t>
  </si>
  <si>
    <t>SHARMILA</t>
  </si>
  <si>
    <t>23UG902382</t>
  </si>
  <si>
    <t>SUJEET VISHAL S</t>
  </si>
  <si>
    <t>SENTHIL KUMAR R</t>
  </si>
  <si>
    <t>SANGEETHA</t>
  </si>
  <si>
    <t>23UG816835</t>
  </si>
  <si>
    <t>SUJETH S</t>
  </si>
  <si>
    <t>SAMPATH M</t>
  </si>
  <si>
    <t>LAKSHMI</t>
  </si>
  <si>
    <t>23UG909805</t>
  </si>
  <si>
    <t>SURYA D</t>
  </si>
  <si>
    <t>DHANDAPANI</t>
  </si>
  <si>
    <t>VANAJA</t>
  </si>
  <si>
    <t>23UG904956</t>
  </si>
  <si>
    <t>SURYA PRAKASH E</t>
  </si>
  <si>
    <t>ELAYARAJA</t>
  </si>
  <si>
    <t>23UG816705</t>
  </si>
  <si>
    <t>SWAATHI M P</t>
  </si>
  <si>
    <t>PORAPPANASAMY M</t>
  </si>
  <si>
    <t>23UG802357</t>
  </si>
  <si>
    <t>SYED AFRIN TAJ S</t>
  </si>
  <si>
    <t>SYED ABUTHAKIR</t>
  </si>
  <si>
    <t>SITHYA</t>
  </si>
  <si>
    <t>23UG820203</t>
  </si>
  <si>
    <t>TANUSHRI HARIHARASUDHAN</t>
  </si>
  <si>
    <t>HARIHARASUDHAN</t>
  </si>
  <si>
    <t>23UG910017</t>
  </si>
  <si>
    <t xml:space="preserve">TANYAA REDDY G </t>
  </si>
  <si>
    <t xml:space="preserve">GUBERNATH </t>
  </si>
  <si>
    <t>PRAVEENA</t>
  </si>
  <si>
    <t>23UG813775</t>
  </si>
  <si>
    <t>THARUNIKA M</t>
  </si>
  <si>
    <t>MARICHAMY</t>
  </si>
  <si>
    <t>LATHA</t>
  </si>
  <si>
    <t>23UG902707</t>
  </si>
  <si>
    <t>THIRUMURUGAN A</t>
  </si>
  <si>
    <t>ARASU</t>
  </si>
  <si>
    <t>23UG806761</t>
  </si>
  <si>
    <t>VAISHNAVIDEVI C</t>
  </si>
  <si>
    <t>CHENNIAPPAN</t>
  </si>
  <si>
    <t>SIVAGAMI</t>
  </si>
  <si>
    <t>8825992802/9842838174</t>
  </si>
  <si>
    <t>23UG904894</t>
  </si>
  <si>
    <t>VAITHEESHWARI S</t>
  </si>
  <si>
    <t xml:space="preserve">SENTHIL RAJA </t>
  </si>
  <si>
    <t>REVATHI</t>
  </si>
  <si>
    <t>23UG901318</t>
  </si>
  <si>
    <t>VEDAAKSHAYAA S</t>
  </si>
  <si>
    <t>SURENDRABABU J</t>
  </si>
  <si>
    <t>ANITHA</t>
  </si>
  <si>
    <t>23UG804205</t>
  </si>
  <si>
    <t xml:space="preserve">VETRI CHELVAN A </t>
  </si>
  <si>
    <t>ARUL PRASADH</t>
  </si>
  <si>
    <t>23UG802275</t>
  </si>
  <si>
    <t xml:space="preserve">VIDHYA T </t>
  </si>
  <si>
    <t>TAMILSELVAN</t>
  </si>
  <si>
    <t>w</t>
  </si>
  <si>
    <t>23UG905291</t>
  </si>
  <si>
    <t>VIGNESH M</t>
  </si>
  <si>
    <t>MURUGESAN</t>
  </si>
  <si>
    <t>NEELAVATHI</t>
  </si>
  <si>
    <t>23UG902806</t>
  </si>
  <si>
    <t>VIJAYAVARMAN G</t>
  </si>
  <si>
    <t>GOPALAKRISHNAN V</t>
  </si>
  <si>
    <t>SRIVIDHYA</t>
  </si>
  <si>
    <t>23UG803067</t>
  </si>
  <si>
    <t>VIKASH ANAND S</t>
  </si>
  <si>
    <t>SARAVANAN</t>
  </si>
  <si>
    <t>8778704880/8903155800</t>
  </si>
  <si>
    <t>23UG802078</t>
  </si>
  <si>
    <t>VINAY PRABU POOVENTHAN</t>
  </si>
  <si>
    <t>POOVENTHAN</t>
  </si>
  <si>
    <t>23UG816476</t>
  </si>
  <si>
    <t>VINODHINI V</t>
  </si>
  <si>
    <t>VILVIJAYAN</t>
  </si>
  <si>
    <t>23UG817161</t>
  </si>
  <si>
    <t>VISHAL P</t>
  </si>
  <si>
    <t>PANDURANGAN</t>
  </si>
  <si>
    <t>GOMATHI</t>
  </si>
  <si>
    <t>9443441859/6369306388</t>
  </si>
  <si>
    <t>23UG810251</t>
  </si>
  <si>
    <t>VISHNUPRIYA M</t>
  </si>
  <si>
    <t>23UG909675</t>
  </si>
  <si>
    <t>VISHNUPRIYA S V</t>
  </si>
  <si>
    <t>VIJAYALAKSHMI</t>
  </si>
  <si>
    <t>8610885458/9442603018</t>
  </si>
  <si>
    <t>23UG904791</t>
  </si>
  <si>
    <t>VISHNUVARDHAN P</t>
  </si>
  <si>
    <t>PRABHU</t>
  </si>
  <si>
    <t>AR. NO</t>
  </si>
  <si>
    <t xml:space="preserve">GUARDIAN </t>
  </si>
  <si>
    <t xml:space="preserve">EMIS </t>
  </si>
  <si>
    <t>AADHAR NO</t>
  </si>
  <si>
    <t>MAIL ID</t>
  </si>
  <si>
    <t>24UG906282</t>
  </si>
  <si>
    <t>AAQIL MOHAMED M</t>
  </si>
  <si>
    <t xml:space="preserve">MALE </t>
  </si>
  <si>
    <t xml:space="preserve">NRI LAPSED </t>
  </si>
  <si>
    <t xml:space="preserve">BCM </t>
  </si>
  <si>
    <t>MOHAMED SATHIK M</t>
  </si>
  <si>
    <t>RAHAMATH M</t>
  </si>
  <si>
    <t>3315100440904010</t>
  </si>
  <si>
    <t>itsaaqilmohamed@gmail.com</t>
  </si>
  <si>
    <t>24UG806645</t>
  </si>
  <si>
    <t>AARTHI P</t>
  </si>
  <si>
    <t>SENBAGAVALLI S</t>
  </si>
  <si>
    <t>senbagavallip1970@gmail.com</t>
  </si>
  <si>
    <t>24UG911385</t>
  </si>
  <si>
    <t xml:space="preserve">ABHINAYA SRI I </t>
  </si>
  <si>
    <t xml:space="preserve">ILANGO </t>
  </si>
  <si>
    <t xml:space="preserve">BHARATHY </t>
  </si>
  <si>
    <t>abhinayasri2807@gmail.com</t>
  </si>
  <si>
    <t>24UG812527</t>
  </si>
  <si>
    <t xml:space="preserve">ABINAYA D   </t>
  </si>
  <si>
    <t xml:space="preserve">FEMALE </t>
  </si>
  <si>
    <t>DHANAPAL</t>
  </si>
  <si>
    <t xml:space="preserve">KANAGA </t>
  </si>
  <si>
    <t>3308190140201580</t>
  </si>
  <si>
    <t>abinayadhanapal271@gmail.com</t>
  </si>
  <si>
    <t>24UG824256</t>
  </si>
  <si>
    <t>AISHWARYA K</t>
  </si>
  <si>
    <t>KUMAR P</t>
  </si>
  <si>
    <t>THANAMANI K</t>
  </si>
  <si>
    <t>ak0702507@gmail.com</t>
  </si>
  <si>
    <t>24UG817745</t>
  </si>
  <si>
    <t xml:space="preserve">AISWARYALAKSHMI S </t>
  </si>
  <si>
    <t xml:space="preserve">SENTHIL VELAN </t>
  </si>
  <si>
    <t xml:space="preserve">KIRUTHIGA </t>
  </si>
  <si>
    <t>3320020160301060</t>
  </si>
  <si>
    <t xml:space="preserve">aiswaryasenthil2004@gmail.com </t>
  </si>
  <si>
    <t>24UG805932</t>
  </si>
  <si>
    <t>AJITHA K</t>
  </si>
  <si>
    <t>KALIDASS</t>
  </si>
  <si>
    <t>POONGODI</t>
  </si>
  <si>
    <t>3321050060600317</t>
  </si>
  <si>
    <t>24UG814119</t>
  </si>
  <si>
    <t>AKILA D</t>
  </si>
  <si>
    <t>DHANAPAL S</t>
  </si>
  <si>
    <t>LAKSHMI D</t>
  </si>
  <si>
    <t>3308120110902703</t>
  </si>
  <si>
    <t>akiladhanapal0572@gmail.com</t>
  </si>
  <si>
    <t>24UG907079</t>
  </si>
  <si>
    <t>AMRITHA A</t>
  </si>
  <si>
    <t>ANAND</t>
  </si>
  <si>
    <t>SARADHAJYOTHI</t>
  </si>
  <si>
    <t>amrithaanand45@gmail.com</t>
  </si>
  <si>
    <t>24UG802301</t>
  </si>
  <si>
    <t>ANDRIL AISHWARYA M E</t>
  </si>
  <si>
    <t>ELANGOVAN A</t>
  </si>
  <si>
    <t>MANJULA ELANGOVAN</t>
  </si>
  <si>
    <t>andrilaishu90@gmail.com</t>
  </si>
  <si>
    <t>24UG900225</t>
  </si>
  <si>
    <t>ANIRUDDH PRASHANTH A</t>
  </si>
  <si>
    <t xml:space="preserve">ARUL PRASATH </t>
  </si>
  <si>
    <t>VANILA</t>
  </si>
  <si>
    <t>3330020150200410</t>
  </si>
  <si>
    <t>aniruddhvinayagar@gmail.com</t>
  </si>
  <si>
    <t>24UG904227</t>
  </si>
  <si>
    <t>ANJANA K S</t>
  </si>
  <si>
    <t>3331100880300025</t>
  </si>
  <si>
    <t>anjanagajap@gmail.com</t>
  </si>
  <si>
    <t>24UG800588</t>
  </si>
  <si>
    <t>ARJUN ANANDAKUMAR</t>
  </si>
  <si>
    <t xml:space="preserve">ANANDAKUMAR </t>
  </si>
  <si>
    <t>331513035172111215</t>
  </si>
  <si>
    <t xml:space="preserve">arjunanadakumar@gmail.com </t>
  </si>
  <si>
    <t>24UG809110</t>
  </si>
  <si>
    <t>ARUNASANKAR M</t>
  </si>
  <si>
    <t>MUTHUKUMAR R</t>
  </si>
  <si>
    <t>GOMATHY V</t>
  </si>
  <si>
    <t>3329170150801870</t>
  </si>
  <si>
    <t>arunasankar2102005@gmail.com</t>
  </si>
  <si>
    <t>24UG812960</t>
  </si>
  <si>
    <t>ASHWIN V</t>
  </si>
  <si>
    <t xml:space="preserve">VISHNU KUMAR </t>
  </si>
  <si>
    <t xml:space="preserve">SARITHA </t>
  </si>
  <si>
    <t>3310070641100234</t>
  </si>
  <si>
    <t>ashwinvs308@gmail.com</t>
  </si>
  <si>
    <t>24UG821156</t>
  </si>
  <si>
    <t>ASWIN R M</t>
  </si>
  <si>
    <t>MUTHIAH R</t>
  </si>
  <si>
    <t>UMA R</t>
  </si>
  <si>
    <t>aswinmuthiah2107@gmail.com</t>
  </si>
  <si>
    <t>24UG901870</t>
  </si>
  <si>
    <t>BADMA VEBUSHINI M</t>
  </si>
  <si>
    <t>MURALI R</t>
  </si>
  <si>
    <t>GAYATHRI D</t>
  </si>
  <si>
    <t>badmavebu@gmail.com</t>
  </si>
  <si>
    <t>24UG902568</t>
  </si>
  <si>
    <t>BALAKRISHNAN P</t>
  </si>
  <si>
    <t>PALANISAMY V</t>
  </si>
  <si>
    <t>ARULARASI P</t>
  </si>
  <si>
    <t>3308070120700523</t>
  </si>
  <si>
    <t>24UG906155</t>
  </si>
  <si>
    <t>BALASASTHA S</t>
  </si>
  <si>
    <t>SUBRAMANIAN C</t>
  </si>
  <si>
    <t>BAGAMPIRIYAL C</t>
  </si>
  <si>
    <t>24UG900409</t>
  </si>
  <si>
    <t>BEN JOSHVIN V</t>
  </si>
  <si>
    <t>VASANTHLAUVAN E</t>
  </si>
  <si>
    <t>JOESHILA D</t>
  </si>
  <si>
    <t>24UG801527</t>
  </si>
  <si>
    <t>BHARATH KUMAR R S</t>
  </si>
  <si>
    <t>SIVAPERUMAL R</t>
  </si>
  <si>
    <t>ROOBAMATHI S</t>
  </si>
  <si>
    <t>3313100191101450</t>
  </si>
  <si>
    <t>bharathkumar.2.8.2020@gmail.com</t>
  </si>
  <si>
    <t>24UG900965</t>
  </si>
  <si>
    <t>DARSHAN K</t>
  </si>
  <si>
    <t>KUMARESAN T</t>
  </si>
  <si>
    <t>saidarshan306@gmail.com</t>
  </si>
  <si>
    <t>24UG908891</t>
  </si>
  <si>
    <t>DEEPIKA J</t>
  </si>
  <si>
    <t>JANAHIRAMAN</t>
  </si>
  <si>
    <t xml:space="preserve">KALAIVANI </t>
  </si>
  <si>
    <t>3318140342600058</t>
  </si>
  <si>
    <t>janahieamanadeepika@gmail.com</t>
  </si>
  <si>
    <t>24UG903359</t>
  </si>
  <si>
    <t>DEEPTHI K</t>
  </si>
  <si>
    <t>SATHIANATHAN T T</t>
  </si>
  <si>
    <t>3313030041200497</t>
  </si>
  <si>
    <t>deepthi190605@gmail.com</t>
  </si>
  <si>
    <t>24UG909377</t>
  </si>
  <si>
    <t>DEVARAJ S</t>
  </si>
  <si>
    <t xml:space="preserve">SRIDHAR </t>
  </si>
  <si>
    <t xml:space="preserve">SUBASHINI </t>
  </si>
  <si>
    <t>vdeva1178@gmail.com</t>
  </si>
  <si>
    <t>24UG815550</t>
  </si>
  <si>
    <t>DEVIKA B</t>
  </si>
  <si>
    <t xml:space="preserve">RANI </t>
  </si>
  <si>
    <t>24UG806954</t>
  </si>
  <si>
    <t>DHANUSHA S</t>
  </si>
  <si>
    <t xml:space="preserve">SUDHAKARAN </t>
  </si>
  <si>
    <t xml:space="preserve">MEENAKSHI </t>
  </si>
  <si>
    <t>dhanusudhakaran24@gmail.com</t>
  </si>
  <si>
    <t>24UG900875</t>
  </si>
  <si>
    <t>DHANUSHREE V</t>
  </si>
  <si>
    <t xml:space="preserve">      MBC</t>
  </si>
  <si>
    <t>VENGADESH K</t>
  </si>
  <si>
    <t>GURUMARI V</t>
  </si>
  <si>
    <t>dhanushree202006@gmail.com</t>
  </si>
  <si>
    <t>24UG816644</t>
  </si>
  <si>
    <t>DHANVANTHRAJ L P</t>
  </si>
  <si>
    <t>PALANIVEL S</t>
  </si>
  <si>
    <t>LAKSHMI R</t>
  </si>
  <si>
    <t>palaniveludpm@gmail.com</t>
  </si>
  <si>
    <t>24UG902991</t>
  </si>
  <si>
    <t>DHIVESH MADHAVAA  M P</t>
  </si>
  <si>
    <t>PANDIAN M</t>
  </si>
  <si>
    <t>VIJAYALAKSHMI C</t>
  </si>
  <si>
    <t>24UG825757</t>
  </si>
  <si>
    <t>DHIVIYA P</t>
  </si>
  <si>
    <t>PALANIVEL V</t>
  </si>
  <si>
    <t>UMAIYAMBIGAI P</t>
  </si>
  <si>
    <t>ppud0241@gmail.com</t>
  </si>
  <si>
    <t>24UG903824</t>
  </si>
  <si>
    <t>DHIVYADHARANI S</t>
  </si>
  <si>
    <t>SATHEESH KUMAR R</t>
  </si>
  <si>
    <t>BHUVANESWARI E</t>
  </si>
  <si>
    <t>dhivyadd0912@gmail.com</t>
  </si>
  <si>
    <t>24UG900720</t>
  </si>
  <si>
    <t>DHYANESH V U</t>
  </si>
  <si>
    <t>VENKATESH G</t>
  </si>
  <si>
    <t>UMAMAHESWARI V</t>
  </si>
  <si>
    <t>3312040070601131</t>
  </si>
  <si>
    <t>dhyandhyan7@gmail.com</t>
  </si>
  <si>
    <t>24UG805593</t>
  </si>
  <si>
    <t xml:space="preserve">DIVYA SHREE A </t>
  </si>
  <si>
    <t xml:space="preserve">ARAVINDAN M </t>
  </si>
  <si>
    <t>RADHIKA V</t>
  </si>
  <si>
    <t>3307170170200220</t>
  </si>
  <si>
    <t>888divyashree888@gmail.com</t>
  </si>
  <si>
    <t>24UG807088</t>
  </si>
  <si>
    <t>ELAVARASI P</t>
  </si>
  <si>
    <t>PERUMAL M</t>
  </si>
  <si>
    <t>MALATHI P</t>
  </si>
  <si>
    <t>3331090040300922</t>
  </si>
  <si>
    <t>elavarsi7575@gmail.com</t>
  </si>
  <si>
    <t>24UG903518</t>
  </si>
  <si>
    <t>ESTRELLA MARY M</t>
  </si>
  <si>
    <t>MARIA VICTOR J</t>
  </si>
  <si>
    <t>JEYARANI A</t>
  </si>
  <si>
    <t>esthujoe17@gmail.com</t>
  </si>
  <si>
    <t>24UG803174</t>
  </si>
  <si>
    <t>FAHAD M</t>
  </si>
  <si>
    <t>MOHAMED ANSARY</t>
  </si>
  <si>
    <t>JULAIHA BEEVI</t>
  </si>
  <si>
    <t>3319080480300324</t>
  </si>
  <si>
    <t>mohamedansary554@gmail.com</t>
  </si>
  <si>
    <t>24UG906207</t>
  </si>
  <si>
    <t>GOBIKA G</t>
  </si>
  <si>
    <t>GOPALSAMY</t>
  </si>
  <si>
    <t>MANIMEKALAI</t>
  </si>
  <si>
    <t>gobika82005@gmail.com</t>
  </si>
  <si>
    <t>24UG800028</t>
  </si>
  <si>
    <t xml:space="preserve">GOKUL PRASATH G </t>
  </si>
  <si>
    <t>GOPINATHA K</t>
  </si>
  <si>
    <t>VALARMATHI G</t>
  </si>
  <si>
    <t>gokulprasath77p@gmail.com</t>
  </si>
  <si>
    <t>24UG801350</t>
  </si>
  <si>
    <t>GOKUL T</t>
  </si>
  <si>
    <t>THIYAGARAJAN P</t>
  </si>
  <si>
    <t>DHANALAKSHMI T</t>
  </si>
  <si>
    <t>gokulthiyagu44@gmail.com</t>
  </si>
  <si>
    <t>24UG911708</t>
  </si>
  <si>
    <t>GOWTHAM SIDHU B</t>
  </si>
  <si>
    <t>BABU B</t>
  </si>
  <si>
    <t>MUNILAKSHMI P</t>
  </si>
  <si>
    <t xml:space="preserve"> gowthamsidhu2006@gmail.com</t>
  </si>
  <si>
    <t>24UG 900140</t>
  </si>
  <si>
    <t>HAKSHITHA M</t>
  </si>
  <si>
    <t>MURUGESAN K</t>
  </si>
  <si>
    <t>USHA NANDHINI M</t>
  </si>
  <si>
    <t>3331100410904762</t>
  </si>
  <si>
    <t>24UG810598</t>
  </si>
  <si>
    <t>HARINI K</t>
  </si>
  <si>
    <t>KANNAN P</t>
  </si>
  <si>
    <t>HEMAPRIYA S</t>
  </si>
  <si>
    <t>harinikannan1122@gmail.com</t>
  </si>
  <si>
    <t>24UG906201</t>
  </si>
  <si>
    <t>HARSHA VARDHINI S</t>
  </si>
  <si>
    <t xml:space="preserve">SENTHIL R  </t>
  </si>
  <si>
    <t xml:space="preserve"> LAKSHMIPRIYA V</t>
  </si>
  <si>
    <t>24UG906915</t>
  </si>
  <si>
    <t>HARSHINIE A</t>
  </si>
  <si>
    <t>ARUN K</t>
  </si>
  <si>
    <t>GAYATHRI A</t>
  </si>
  <si>
    <t>2006024607</t>
  </si>
  <si>
    <t>harshinie1015@gmail.com</t>
  </si>
  <si>
    <t>24UG901711</t>
  </si>
  <si>
    <t>HARSHITHA PEMMASANI</t>
  </si>
  <si>
    <t>PRAVIN KUMAR P</t>
  </si>
  <si>
    <t>SARALA DEVI N</t>
  </si>
  <si>
    <t>3301050341200624</t>
  </si>
  <si>
    <t>harshithapemmasani14@fmail.com</t>
  </si>
  <si>
    <t>24UG 807587</t>
  </si>
  <si>
    <t xml:space="preserve">HEMALATHA R </t>
  </si>
  <si>
    <t xml:space="preserve"> FEMALE </t>
  </si>
  <si>
    <t xml:space="preserve"> BC </t>
  </si>
  <si>
    <t>UMADEVI S</t>
  </si>
  <si>
    <t>hemalathaumadevi2006@gmail.com</t>
  </si>
  <si>
    <t>24UG908119</t>
  </si>
  <si>
    <t>HEMANTH R V</t>
  </si>
  <si>
    <t>VENKATESAN SRINIVASAN</t>
  </si>
  <si>
    <t>RAMYA S</t>
  </si>
  <si>
    <t>hemrv2006@gmail.com</t>
  </si>
  <si>
    <t>24UG819423</t>
  </si>
  <si>
    <t>HEMAVATHI M K</t>
  </si>
  <si>
    <t>KOVALAN M N</t>
  </si>
  <si>
    <t xml:space="preserve">MOGANA M K </t>
  </si>
  <si>
    <t xml:space="preserve">9444872076/
8124141015 </t>
  </si>
  <si>
    <t>3301130190500042</t>
  </si>
  <si>
    <t>hemamk0707@gmail.com</t>
  </si>
  <si>
    <t>24UG808653</t>
  </si>
  <si>
    <t>HEVIKA S J</t>
  </si>
  <si>
    <t>SIVAKUMAR A</t>
  </si>
  <si>
    <t xml:space="preserve">JEEVA G R </t>
  </si>
  <si>
    <t>3331100952103990</t>
  </si>
  <si>
    <t>hevikasj@gmail.com</t>
  </si>
  <si>
    <t>24UG906258</t>
  </si>
  <si>
    <t>INBASELVAN</t>
  </si>
  <si>
    <t>VIJAYAKUMAR C</t>
  </si>
  <si>
    <t>LEELAVATHI V</t>
  </si>
  <si>
    <t>3322050720300980</t>
  </si>
  <si>
    <t>kuttaiubu@gmail.com</t>
  </si>
  <si>
    <t>24UG820167</t>
  </si>
  <si>
    <t>IYAPPAN V</t>
  </si>
  <si>
    <t>VINAYAGAM</t>
  </si>
  <si>
    <t>VELAMMAL T K</t>
  </si>
  <si>
    <t>iyappanv027@gmail.com</t>
  </si>
  <si>
    <t>24UG910951</t>
  </si>
  <si>
    <t>JAI SAKTHIVEL T</t>
  </si>
  <si>
    <t>THIRUPATHI RAJ</t>
  </si>
  <si>
    <t>VASUKI A</t>
  </si>
  <si>
    <t>8098709132 /
9677456228</t>
  </si>
  <si>
    <t>jaisakthi017@icloud.com</t>
  </si>
  <si>
    <t>24UG804703</t>
  </si>
  <si>
    <t>JASWANTH V</t>
  </si>
  <si>
    <t>VIJAYAKUMAR S</t>
  </si>
  <si>
    <t>KAMATCHI C</t>
  </si>
  <si>
    <t>3307120290400260</t>
  </si>
  <si>
    <t>jashj556@gmail.com</t>
  </si>
  <si>
    <t>24UG812542</t>
  </si>
  <si>
    <t>JAYASABARI K</t>
  </si>
  <si>
    <t>KUMAR S</t>
  </si>
  <si>
    <t>CHANDRA K</t>
  </si>
  <si>
    <t>3326110060801327</t>
  </si>
  <si>
    <t>jayasabari2004@gmail.com</t>
  </si>
  <si>
    <t>24UG908107</t>
  </si>
  <si>
    <t>JAYESH R</t>
  </si>
  <si>
    <t>RAJAVELU</t>
  </si>
  <si>
    <t>MAHALAKSHMI</t>
  </si>
  <si>
    <t>3302100110800292</t>
  </si>
  <si>
    <t>jayeshr9a@gmail.com</t>
  </si>
  <si>
    <t>24UG809171</t>
  </si>
  <si>
    <t>JERFIN TONEYA J</t>
  </si>
  <si>
    <t>JOSEPH XAVIER D</t>
  </si>
  <si>
    <t>JAMES TAMIL ARASI A</t>
  </si>
  <si>
    <t>332302016031820113</t>
  </si>
  <si>
    <t>jerfintoney1304@gmail.com</t>
  </si>
  <si>
    <t>24UG905610</t>
  </si>
  <si>
    <t xml:space="preserve">JEYVARSHINI B </t>
  </si>
  <si>
    <t>BALAJI P</t>
  </si>
  <si>
    <t xml:space="preserve">MADHUMITHA N M </t>
  </si>
  <si>
    <t>bjeyvarshini@gmail.com</t>
  </si>
  <si>
    <t>24UG808107</t>
  </si>
  <si>
    <t>JIVITH SACHIN V</t>
  </si>
  <si>
    <t>VADIVELAN S</t>
  </si>
  <si>
    <t>SIVA SANKARI R S</t>
  </si>
  <si>
    <t>3303070280801144</t>
  </si>
  <si>
    <t>jivithsachin2005@gmail.com</t>
  </si>
  <si>
    <t>24UG822064</t>
  </si>
  <si>
    <t>JOSHUA PRABAKAR</t>
  </si>
  <si>
    <t>SELVARAJ G</t>
  </si>
  <si>
    <t>JUDITH PANDIA CHITHRA S</t>
  </si>
  <si>
    <t>3323080150400244</t>
  </si>
  <si>
    <t>prabakarjoshua004@gmail.com</t>
  </si>
  <si>
    <t>24UG810727</t>
  </si>
  <si>
    <t>JOTHI PRIYA M</t>
  </si>
  <si>
    <t>MAHALINGAM K</t>
  </si>
  <si>
    <t>VIMALA A</t>
  </si>
  <si>
    <t>3322110741500050</t>
  </si>
  <si>
    <t>jothidr2003@gmail.com</t>
  </si>
  <si>
    <t>24UG904570</t>
  </si>
  <si>
    <t>KABILA KISHOR S</t>
  </si>
  <si>
    <t>SANJEEIV KUMAR</t>
  </si>
  <si>
    <t>THAMARAI SELVI</t>
  </si>
  <si>
    <t>3331090890804474</t>
  </si>
  <si>
    <t>kabilakishor@gmail.com</t>
  </si>
  <si>
    <t>24UG800855</t>
  </si>
  <si>
    <t>KANISHK S</t>
  </si>
  <si>
    <t xml:space="preserve">SURESH P </t>
  </si>
  <si>
    <t>GAJALAKSHMI S</t>
  </si>
  <si>
    <t>97 90325252</t>
  </si>
  <si>
    <t>kanishk190805@gmail.com</t>
  </si>
  <si>
    <t>24UG817202</t>
  </si>
  <si>
    <t>KASIRAMANATHAN T</t>
  </si>
  <si>
    <t>THIRUNAVUKKARASU K</t>
  </si>
  <si>
    <t>kasi182459c@gmail.com</t>
  </si>
  <si>
    <t>24UG813314</t>
  </si>
  <si>
    <t xml:space="preserve">KAVIYA M </t>
  </si>
  <si>
    <t xml:space="preserve">MATHESWARAN </t>
  </si>
  <si>
    <t xml:space="preserve">SUMATHI </t>
  </si>
  <si>
    <t>3331090960200150</t>
  </si>
  <si>
    <t xml:space="preserve">kaviyadd04@gmail.com </t>
  </si>
  <si>
    <t>24UG905291</t>
  </si>
  <si>
    <t>KEERTHANA V</t>
  </si>
  <si>
    <t>VENKATESHREDDY</t>
  </si>
  <si>
    <t>PREMA V</t>
  </si>
  <si>
    <t>3331150445102060</t>
  </si>
  <si>
    <t>keerthanav078@gmail.com</t>
  </si>
  <si>
    <t>24UG901660</t>
  </si>
  <si>
    <t>KIRTHIKESHWAR BALAMURUGAN</t>
  </si>
  <si>
    <t>BALAMURUGAN KESAVAN MEERA</t>
  </si>
  <si>
    <t>KALYANI BALAMURUGAN</t>
  </si>
  <si>
    <t>3304050260800476</t>
  </si>
  <si>
    <t>bkirthikeshwar@gmail.com</t>
  </si>
  <si>
    <t>24UG902257</t>
  </si>
  <si>
    <t>LAKSHANA K</t>
  </si>
  <si>
    <t>KARTHIKEYAN A</t>
  </si>
  <si>
    <t>THENMOZHI K</t>
  </si>
  <si>
    <t>akshulakshana2109@gmail.com</t>
  </si>
  <si>
    <t>24UG903193</t>
  </si>
  <si>
    <t>LALITHAMBIGAI K</t>
  </si>
  <si>
    <t>KALYANASUNDARAM R</t>
  </si>
  <si>
    <t>MATHYMATHI N</t>
  </si>
  <si>
    <t>24UG908631</t>
  </si>
  <si>
    <t>LAXAMI PRIYA K</t>
  </si>
  <si>
    <t>KUMAR G</t>
  </si>
  <si>
    <t>METILDA RANI N</t>
  </si>
  <si>
    <t>332304037081920993</t>
  </si>
  <si>
    <t>KUMAR9080459500@GMAIL.COM</t>
  </si>
  <si>
    <t>24UG901518</t>
  </si>
  <si>
    <t>LISHANTI VARSHINI S</t>
  </si>
  <si>
    <t xml:space="preserve">SATHIYA SEELAN </t>
  </si>
  <si>
    <t>slishantivarshini@gmail.com</t>
  </si>
  <si>
    <t>24UG806876</t>
  </si>
  <si>
    <t>LOKESH KUMAR V</t>
  </si>
  <si>
    <t xml:space="preserve">VENKATESAN  </t>
  </si>
  <si>
    <t xml:space="preserve">PRIYA </t>
  </si>
  <si>
    <t>3318010693900110</t>
  </si>
  <si>
    <t>krishilokesh29@gmail.com</t>
  </si>
  <si>
    <t>24UG905988</t>
  </si>
  <si>
    <t xml:space="preserve">MADHU SRI R </t>
  </si>
  <si>
    <t>RAVICHANDRAN S</t>
  </si>
  <si>
    <t>JEYA R</t>
  </si>
  <si>
    <t>rjmadhusri@gmail.com</t>
  </si>
  <si>
    <t>24UG806841</t>
  </si>
  <si>
    <t>MIRNALINI M</t>
  </si>
  <si>
    <t>MADHAVAN S</t>
  </si>
  <si>
    <t>PADHMA M</t>
  </si>
  <si>
    <t>3319010302000360</t>
  </si>
  <si>
    <t>miruthimadhavan@gmail.com</t>
  </si>
  <si>
    <t>24UG809127</t>
  </si>
  <si>
    <t>MOHANBABU D</t>
  </si>
  <si>
    <t>DEVENDRAN K</t>
  </si>
  <si>
    <t>SATHIYAVATHI D</t>
  </si>
  <si>
    <t>3322020490401528</t>
  </si>
  <si>
    <t>harisathiya2@gmail.com</t>
  </si>
  <si>
    <t>24UG804768</t>
  </si>
  <si>
    <t>MUHAMMAD ARSHAD N</t>
  </si>
  <si>
    <t xml:space="preserve">NAZAR K </t>
  </si>
  <si>
    <t>SHAKIRA N</t>
  </si>
  <si>
    <t>3306010010200082</t>
  </si>
  <si>
    <t>arshadhmd69@gmail.com</t>
  </si>
  <si>
    <t>24UG900890</t>
  </si>
  <si>
    <t>MUTHU SELVAN M</t>
  </si>
  <si>
    <t>MUTHUVEL C</t>
  </si>
  <si>
    <t>AMSAVENI M</t>
  </si>
  <si>
    <t>muthuselvanm256@gmail.com</t>
  </si>
  <si>
    <t>24UG800112</t>
  </si>
  <si>
    <t>MYTHILI S</t>
  </si>
  <si>
    <t>SIVAKUMAR R</t>
  </si>
  <si>
    <t>MAHESWARI S</t>
  </si>
  <si>
    <t>3303070500500516</t>
  </si>
  <si>
    <t>sivakumarr442@gmail.com</t>
  </si>
  <si>
    <t>24UG906187</t>
  </si>
  <si>
    <t>NARMADHA V</t>
  </si>
  <si>
    <t>VENU R</t>
  </si>
  <si>
    <t>VASANTHA KUMARI</t>
  </si>
  <si>
    <t>narmadhavenu55@gmail.com</t>
  </si>
  <si>
    <t>24UG801018</t>
  </si>
  <si>
    <t>NAVEEN KUMAR N</t>
  </si>
  <si>
    <t>NATARAJAN M</t>
  </si>
  <si>
    <t>JOTHI LAKSHMI N</t>
  </si>
  <si>
    <t>3315110228081711265</t>
  </si>
  <si>
    <t>nngg27001@gmail.com</t>
  </si>
  <si>
    <t>24UG814807</t>
  </si>
  <si>
    <t>NAVEEN PERUMAL M</t>
  </si>
  <si>
    <t xml:space="preserve">MURUGAN </t>
  </si>
  <si>
    <t xml:space="preserve">VANI </t>
  </si>
  <si>
    <t>mnavinperumal@gmail.com</t>
  </si>
  <si>
    <t>24UG909112</t>
  </si>
  <si>
    <t>NAVINITHA M</t>
  </si>
  <si>
    <t>MURUGAN N</t>
  </si>
  <si>
    <t>SULOCHANA M</t>
  </si>
  <si>
    <t>3305031160601740</t>
  </si>
  <si>
    <t>mnavinitha@gmail.com</t>
  </si>
  <si>
    <t>24UG817913</t>
  </si>
  <si>
    <t>NIKSHIKA FREETHA Y F</t>
  </si>
  <si>
    <t>YESUDHAS S</t>
  </si>
  <si>
    <t>FREEDA T</t>
  </si>
  <si>
    <t>3330070023301460</t>
  </si>
  <si>
    <t>freedafreedat@gmail.com</t>
  </si>
  <si>
    <t>24UG805471</t>
  </si>
  <si>
    <t>NISHA NANTHINI R</t>
  </si>
  <si>
    <t>RAGUNATHAN  J</t>
  </si>
  <si>
    <t>SUBATHRA R</t>
  </si>
  <si>
    <t>nishananthu25@gmail.com</t>
  </si>
  <si>
    <t>24UG904578</t>
  </si>
  <si>
    <t>NISHITHA S</t>
  </si>
  <si>
    <t>SANKAR S R</t>
  </si>
  <si>
    <t>LATHA S</t>
  </si>
  <si>
    <t>3331090960700174</t>
  </si>
  <si>
    <t>lathasankar060@gmail.com</t>
  </si>
  <si>
    <t>24UG808563</t>
  </si>
  <si>
    <t>NITHISH ANANDAN N</t>
  </si>
  <si>
    <t xml:space="preserve">NITHIYANANDAM R </t>
  </si>
  <si>
    <t xml:space="preserve">BABY T </t>
  </si>
  <si>
    <t>nithishanandan24@gmail.com</t>
  </si>
  <si>
    <t>24UG800314</t>
  </si>
  <si>
    <t>NITHISH S</t>
  </si>
  <si>
    <t xml:space="preserve">SHANMUGAM K </t>
  </si>
  <si>
    <t>SUGANYA K</t>
  </si>
  <si>
    <t>2023090675</t>
  </si>
  <si>
    <t>nitishshanmugam2020@gmail.com</t>
  </si>
  <si>
    <t>24UG905700</t>
  </si>
  <si>
    <t>NITHYASHREE I</t>
  </si>
  <si>
    <t xml:space="preserve">ILAYARAJA S J </t>
  </si>
  <si>
    <t>SASIKALA S I</t>
  </si>
  <si>
    <t>24UG911923</t>
  </si>
  <si>
    <t>NIVETHA T K</t>
  </si>
  <si>
    <t xml:space="preserve">TAMILVASAGAN </t>
  </si>
  <si>
    <t xml:space="preserve"> KAVITHA </t>
  </si>
  <si>
    <t>3322050730100970</t>
  </si>
  <si>
    <t>24UG900591</t>
  </si>
  <si>
    <t>NIVETHA V</t>
  </si>
  <si>
    <t xml:space="preserve">VELUSAMY K </t>
  </si>
  <si>
    <t>KAVITHA V</t>
  </si>
  <si>
    <t>24UG905159</t>
  </si>
  <si>
    <t>PAVITHRA K S</t>
  </si>
  <si>
    <t>SUBRAYALU</t>
  </si>
  <si>
    <t>MALAR</t>
  </si>
  <si>
    <t>9442277235 /
8248398425</t>
  </si>
  <si>
    <t>subrayalu2017@gmail.com</t>
  </si>
  <si>
    <t>24UG902585</t>
  </si>
  <si>
    <t>POOJITHA K</t>
  </si>
  <si>
    <t>KARHIKEYAN R</t>
  </si>
  <si>
    <t>SARITHA</t>
  </si>
  <si>
    <t>3305010142705790</t>
  </si>
  <si>
    <t>kpoojitha8180@gmail.com</t>
  </si>
  <si>
    <t>24UG900281</t>
  </si>
  <si>
    <t>PRAGADEESWAR SARAVANAN</t>
  </si>
  <si>
    <t xml:space="preserve">SARAVANAN </t>
  </si>
  <si>
    <t>AKILANDESWARI</t>
  </si>
  <si>
    <t>24UG906406</t>
  </si>
  <si>
    <t>PRATHIKSHUN T M</t>
  </si>
  <si>
    <t xml:space="preserve">MOHANRAM T R  </t>
  </si>
  <si>
    <t>PRIYA M P</t>
  </si>
  <si>
    <t>3327030060202990</t>
  </si>
  <si>
    <t>24UG800364</t>
  </si>
  <si>
    <t>PRAVEEN A</t>
  </si>
  <si>
    <t>ANNAKAMATCHI B</t>
  </si>
  <si>
    <t>VIJAYALAKSHMI A</t>
  </si>
  <si>
    <t>praveenannakamatchi45@gmail.com</t>
  </si>
  <si>
    <t>24UG913413</t>
  </si>
  <si>
    <t>PREETHIGA R</t>
  </si>
  <si>
    <t xml:space="preserve">RAMESH K </t>
  </si>
  <si>
    <t>SUDHA R</t>
  </si>
  <si>
    <t>24UG910474</t>
  </si>
  <si>
    <t>PREETHII B</t>
  </si>
  <si>
    <t>BALAMURALI KRISHNA P</t>
  </si>
  <si>
    <t>SUBHASHINI B</t>
  </si>
  <si>
    <t>preethipayal2007@gmail.com</t>
  </si>
  <si>
    <t>24UG811196</t>
  </si>
  <si>
    <t xml:space="preserve">PREETHIKA SHERLY </t>
  </si>
  <si>
    <t>RAJA MELKYUR</t>
  </si>
  <si>
    <t xml:space="preserve">KAVITHA CAROLIN </t>
  </si>
  <si>
    <t>3315110270400590</t>
  </si>
  <si>
    <t>sherlypeerthika2004@gmail,com</t>
  </si>
  <si>
    <t>24UG904703</t>
  </si>
  <si>
    <t>PRITHIKA S</t>
  </si>
  <si>
    <t>ARULMOZHI</t>
  </si>
  <si>
    <t>sprithiindia@gmail.com</t>
  </si>
  <si>
    <t>24UG900687</t>
  </si>
  <si>
    <t>PRIYADHARSHINI V</t>
  </si>
  <si>
    <t>VISWANATHAN P</t>
  </si>
  <si>
    <t>LATHA V</t>
  </si>
  <si>
    <t>3305081230200740</t>
  </si>
  <si>
    <t>priyadharshini.v7777@gmail.com</t>
  </si>
  <si>
    <t>24UG820701</t>
  </si>
  <si>
    <t>PRIYANKA R</t>
  </si>
  <si>
    <t>pavithra</t>
  </si>
  <si>
    <t xml:space="preserve">RAMESH KANNAN </t>
  </si>
  <si>
    <t xml:space="preserve">SUGUNESWARI </t>
  </si>
  <si>
    <t>3301050630401119</t>
  </si>
  <si>
    <t>anupirri03@gmail.com</t>
  </si>
  <si>
    <t>24UG821100</t>
  </si>
  <si>
    <t>RADHI RAJ R</t>
  </si>
  <si>
    <t xml:space="preserve">RAJA A </t>
  </si>
  <si>
    <t>THILAGAVATHI R</t>
  </si>
  <si>
    <t>radhiraj.1604@gmail.com</t>
  </si>
  <si>
    <t>24UG808436</t>
  </si>
  <si>
    <t>RAGHUL ASHWIN G</t>
  </si>
  <si>
    <t>GOPU S</t>
  </si>
  <si>
    <t>BHUVANESWARI P</t>
  </si>
  <si>
    <t>3307060040500179</t>
  </si>
  <si>
    <t>sgopu13@gmail.com</t>
  </si>
  <si>
    <t>24UG903071</t>
  </si>
  <si>
    <t xml:space="preserve">RAGHUL R </t>
  </si>
  <si>
    <t>RAMESH BABU P</t>
  </si>
  <si>
    <t>UMA C</t>
  </si>
  <si>
    <t>raghulramesh.rr1@gmail.com</t>
  </si>
  <si>
    <t>24UG804072</t>
  </si>
  <si>
    <t>RAHUL P</t>
  </si>
  <si>
    <t xml:space="preserve">PERUMAL K </t>
  </si>
  <si>
    <t xml:space="preserve">RAJSWARI P </t>
  </si>
  <si>
    <t>24UG903154</t>
  </si>
  <si>
    <t>RAKSITH P</t>
  </si>
  <si>
    <t xml:space="preserve">PRAVEEN P J </t>
  </si>
  <si>
    <t>330210014121710491</t>
  </si>
  <si>
    <t>raksith100@gmail.com</t>
  </si>
  <si>
    <t>24UG803468</t>
  </si>
  <si>
    <t>RAMYADHARSHINI M</t>
  </si>
  <si>
    <t>MAIYAPPAN K D</t>
  </si>
  <si>
    <t>PREMA T</t>
  </si>
  <si>
    <t>ramyadharshinim28@gmail.com</t>
  </si>
  <si>
    <t>24UG908319</t>
  </si>
  <si>
    <t>ROHITH D</t>
  </si>
  <si>
    <t>DHAMO THARAN G</t>
  </si>
  <si>
    <t>SRI DEVI R</t>
  </si>
  <si>
    <t>3305010142100806</t>
  </si>
  <si>
    <t>drohith567@gmail.com</t>
  </si>
  <si>
    <t>24UG808754</t>
  </si>
  <si>
    <t>SAFA RAKSHANA S</t>
  </si>
  <si>
    <t>SLEEM S</t>
  </si>
  <si>
    <t>JAMEEL RANI S</t>
  </si>
  <si>
    <t>3324110260601200</t>
  </si>
  <si>
    <t>24UG900661</t>
  </si>
  <si>
    <t>SAI KRISHNA K</t>
  </si>
  <si>
    <t xml:space="preserve">SARATHADEVI </t>
  </si>
  <si>
    <t>kperumalsai@gmail.com</t>
  </si>
  <si>
    <t>24UG901064</t>
  </si>
  <si>
    <t>SANGEETHA VANI R</t>
  </si>
  <si>
    <t>RAVICHANDRAN T R</t>
  </si>
  <si>
    <t>KUMUTHA R</t>
  </si>
  <si>
    <t>3304090221400478</t>
  </si>
  <si>
    <t>sangeethavani223@gmail.com</t>
  </si>
  <si>
    <t>24UG813452</t>
  </si>
  <si>
    <t xml:space="preserve">SANJAY SIDDHARTH </t>
  </si>
  <si>
    <t>SENTHIL M</t>
  </si>
  <si>
    <t>PUNITHAVATHI S</t>
  </si>
  <si>
    <t>2007872688</t>
  </si>
  <si>
    <t>sanjausenthil1234@gmail.com</t>
  </si>
  <si>
    <t>24UG906604</t>
  </si>
  <si>
    <t xml:space="preserve">SANMATHI BALAH BALAJI SUBBULAKSHMI </t>
  </si>
  <si>
    <t xml:space="preserve">BALAJI </t>
  </si>
  <si>
    <t xml:space="preserve">SUBBALAKSHMI </t>
  </si>
  <si>
    <t>24UG906277</t>
  </si>
  <si>
    <t>SARAN C</t>
  </si>
  <si>
    <t>CHANDRASEKARAN M</t>
  </si>
  <si>
    <t>csaran1308@gmail.com</t>
  </si>
  <si>
    <t>24UG812203</t>
  </si>
  <si>
    <t>SATHYAN S</t>
  </si>
  <si>
    <t>SENTHIL KUMAR S</t>
  </si>
  <si>
    <t>CHITRASELVI S</t>
  </si>
  <si>
    <t>sathyan6221@gmail.com</t>
  </si>
  <si>
    <t>24UG818252</t>
  </si>
  <si>
    <t>SHAHANA R A</t>
  </si>
  <si>
    <t>RAVI E</t>
  </si>
  <si>
    <t>AMUTHA G</t>
  </si>
  <si>
    <t>333100890804523</t>
  </si>
  <si>
    <t>shahanaravi2004@gmail.com</t>
  </si>
  <si>
    <t>24UG802411</t>
  </si>
  <si>
    <t>SHIVYA DHARSHINI N</t>
  </si>
  <si>
    <t>NAVEENATHA KRISHNAN</t>
  </si>
  <si>
    <t>NAGESHWARI</t>
  </si>
  <si>
    <t>shivyanavaneethan@gmail.com</t>
  </si>
  <si>
    <t>24UG910155</t>
  </si>
  <si>
    <t>SHREE ARASE S</t>
  </si>
  <si>
    <t>SIVAKUMAR C</t>
  </si>
  <si>
    <t>BHUVANA</t>
  </si>
  <si>
    <t>shreearases@gmail.com</t>
  </si>
  <si>
    <t>24UG819689</t>
  </si>
  <si>
    <t xml:space="preserve">SHYLESH 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</si>
  <si>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ELUMALAI K</t>
  </si>
  <si>
    <t>YUVARANI K</t>
  </si>
  <si>
    <t>3301010620200510</t>
  </si>
  <si>
    <t>shyleshelumalai@gmail.com</t>
  </si>
  <si>
    <t>24UG907814</t>
  </si>
  <si>
    <t>SITTESH M</t>
  </si>
  <si>
    <t>MANOHARAN M</t>
  </si>
  <si>
    <t>VELAMMAL P</t>
  </si>
  <si>
    <t>331509057081810000</t>
  </si>
  <si>
    <t>sitteshm@gmail.com</t>
  </si>
  <si>
    <t>24UG817732</t>
  </si>
  <si>
    <t>SIVASHANMUGAM V</t>
  </si>
  <si>
    <t xml:space="preserve">VIJAYAKUMAR </t>
  </si>
  <si>
    <t xml:space="preserve">DURGADEVI </t>
  </si>
  <si>
    <t xml:space="preserve">v.sivashanmugam2006@gmail.com </t>
  </si>
  <si>
    <t>24UG902937</t>
  </si>
  <si>
    <t>SOKITHA U G</t>
  </si>
  <si>
    <t xml:space="preserve">GUNASEKARAN </t>
  </si>
  <si>
    <t>UMAHESWARI</t>
  </si>
  <si>
    <t>330307008031921000</t>
  </si>
  <si>
    <t>umasokitha1978@gmail.com</t>
  </si>
  <si>
    <t>24UG807139</t>
  </si>
  <si>
    <t xml:space="preserve">SONIYA T </t>
  </si>
  <si>
    <t>THIRUPPATHY R</t>
  </si>
  <si>
    <t>3304180040600396</t>
  </si>
  <si>
    <t>zenisoniya@gmail.com</t>
  </si>
  <si>
    <t>24UG816584</t>
  </si>
  <si>
    <t>SOWMETHA PP</t>
  </si>
  <si>
    <t>PONNUSAMY V</t>
  </si>
  <si>
    <t>NIRMALA P</t>
  </si>
  <si>
    <t>sowmethaponnusamy@gmail.com</t>
  </si>
  <si>
    <t>24UG816829</t>
  </si>
  <si>
    <t>SREETHA S</t>
  </si>
  <si>
    <t>SIVAKUMAR M</t>
  </si>
  <si>
    <t>SARANYA S</t>
  </si>
  <si>
    <t>sreethasivakumar1512@gmail.com</t>
  </si>
  <si>
    <t>24UG806048</t>
  </si>
  <si>
    <t>SRI SHANKARI M</t>
  </si>
  <si>
    <t>MURUGAN M K</t>
  </si>
  <si>
    <t>SANGEETHA M</t>
  </si>
  <si>
    <t>3331111060200680</t>
  </si>
  <si>
    <t>shankarimurugan0511@gmail.com</t>
  </si>
  <si>
    <t>24UG912995</t>
  </si>
  <si>
    <t>SUBASH SANJIT ANBALAGAN</t>
  </si>
  <si>
    <t>ANBALAGAN CHELLIAH</t>
  </si>
  <si>
    <t>BHAVANI A</t>
  </si>
  <si>
    <t>2614679 &amp; +97433673035</t>
  </si>
  <si>
    <t>subashsgr8@gmail.com</t>
  </si>
  <si>
    <t>24UG802933</t>
  </si>
  <si>
    <t>SUBASHREE M</t>
  </si>
  <si>
    <t>MUTHUKUMAR N</t>
  </si>
  <si>
    <t>DHANALAKSHMI S</t>
  </si>
  <si>
    <t>3316040011704360</t>
  </si>
  <si>
    <t>mdsubashree@gmail.com</t>
  </si>
  <si>
    <t>24UG906445</t>
  </si>
  <si>
    <t>SUDHARSAN B</t>
  </si>
  <si>
    <t xml:space="preserve">MQ </t>
  </si>
  <si>
    <t>BALAKRISHNASAMY R</t>
  </si>
  <si>
    <t xml:space="preserve">RENGANAYAHI S S </t>
  </si>
  <si>
    <t>sudharsanbalakrishnasamy@gmail.com</t>
  </si>
  <si>
    <t>24UG816823</t>
  </si>
  <si>
    <t>SUGAPRIYA G P</t>
  </si>
  <si>
    <t>GOMASTHISANKAR G</t>
  </si>
  <si>
    <t>PITCHAMMAL</t>
  </si>
  <si>
    <t>sugapriya.g.p.2021@gmail.com</t>
  </si>
  <si>
    <t>24UG908003</t>
  </si>
  <si>
    <t>SUMITHRA P</t>
  </si>
  <si>
    <t>PONNUCHAMY M</t>
  </si>
  <si>
    <t>MUTHUPANDI K</t>
  </si>
  <si>
    <t>3324060340200270</t>
  </si>
  <si>
    <t>harisumi2084@gmail.com</t>
  </si>
  <si>
    <t>24UG816140</t>
  </si>
  <si>
    <t xml:space="preserve">SURIYA  TKMS </t>
  </si>
  <si>
    <t xml:space="preserve">SARANYA </t>
  </si>
  <si>
    <t>surisaravanan2007@gmail.com</t>
  </si>
  <si>
    <t>24UG807971</t>
  </si>
  <si>
    <t>SUSHMA NIVAS S</t>
  </si>
  <si>
    <t>SRINIVASAN S</t>
  </si>
  <si>
    <t>AMUTHA M</t>
  </si>
  <si>
    <t>sushmanivas1202@gmail.com</t>
  </si>
  <si>
    <t>24UG906426</t>
  </si>
  <si>
    <t>SWARNAMATHI A</t>
  </si>
  <si>
    <t>ALAGUSUMDARAM K</t>
  </si>
  <si>
    <t>DHANALAKSHMI A</t>
  </si>
  <si>
    <t>332408051031720111</t>
  </si>
  <si>
    <t>24UG904559</t>
  </si>
  <si>
    <t>SWATHIKA M</t>
  </si>
  <si>
    <t xml:space="preserve">MANOHARAN A </t>
  </si>
  <si>
    <t>AMUTHA DEVI</t>
  </si>
  <si>
    <t>3326061279700570</t>
  </si>
  <si>
    <t>swathika7686@gmail.com</t>
  </si>
  <si>
    <t>24UG903213</t>
  </si>
  <si>
    <t xml:space="preserve">SWETHA M </t>
  </si>
  <si>
    <t>3326061279700510</t>
  </si>
  <si>
    <t>swethaswathikamswethaswathikam@gmail.com</t>
  </si>
  <si>
    <t>24UG807068</t>
  </si>
  <si>
    <t>TAMILARASAN S</t>
  </si>
  <si>
    <t>SRINIVASAN G</t>
  </si>
  <si>
    <t>JAYAKODI S</t>
  </si>
  <si>
    <t>3308070020200130</t>
  </si>
  <si>
    <t>tamilarasansrini2003@gmail.com</t>
  </si>
  <si>
    <t>24UG909301</t>
  </si>
  <si>
    <t>TEJO KRISHNA N M</t>
  </si>
  <si>
    <t xml:space="preserve">MOHAN SRINIVASAN N G </t>
  </si>
  <si>
    <t>SINIYA N M</t>
  </si>
  <si>
    <t>goodtejo@gmail.com</t>
  </si>
  <si>
    <t>24UG819512</t>
  </si>
  <si>
    <t>THANISHKA K S</t>
  </si>
  <si>
    <t>KATHIRVEL P</t>
  </si>
  <si>
    <t>SHARMILA K</t>
  </si>
  <si>
    <t>thanishka29ks@gmail.com</t>
  </si>
  <si>
    <t>24UG808652</t>
  </si>
  <si>
    <t xml:space="preserve">THAYALINI V </t>
  </si>
  <si>
    <t>VIMALANATHAN R</t>
  </si>
  <si>
    <t>3321020380900050</t>
  </si>
  <si>
    <t>thayaliniv06@gmail.com</t>
  </si>
  <si>
    <t>24UG807837</t>
  </si>
  <si>
    <t>THEEBIGAA K M</t>
  </si>
  <si>
    <t>KARUPUSETTU P</t>
  </si>
  <si>
    <t>MAHESHWARI K</t>
  </si>
  <si>
    <t>kmtheebigaa@gmail.com</t>
  </si>
  <si>
    <t>24UG905371</t>
  </si>
  <si>
    <t>VAISHNAVI T</t>
  </si>
  <si>
    <t>THIYAGARAJAN N</t>
  </si>
  <si>
    <t>SUJANA V</t>
  </si>
  <si>
    <t>tntvaishnavi1@gmail.com</t>
  </si>
  <si>
    <t>24UG809149</t>
  </si>
  <si>
    <t xml:space="preserve">VARSHA K S </t>
  </si>
  <si>
    <t>SELLAMUTHU K</t>
  </si>
  <si>
    <t>9443943102 /
9150342123</t>
  </si>
  <si>
    <t>3313100191101990</t>
  </si>
  <si>
    <t>varshasellamuthu27@gmail.com</t>
  </si>
  <si>
    <t>24UG902212</t>
  </si>
  <si>
    <t xml:space="preserve">VARSHITHA S U </t>
  </si>
  <si>
    <t>SREEDARAN S</t>
  </si>
  <si>
    <t xml:space="preserve">UMA MAHESHWARI </t>
  </si>
  <si>
    <t>3304130133500055</t>
  </si>
  <si>
    <t>varshithasu@gmail.com</t>
  </si>
  <si>
    <t>24UG905882</t>
  </si>
  <si>
    <t>VEDULLAPALLI MEDHAASHRITHA</t>
  </si>
  <si>
    <t>RAVISANKAR V</t>
  </si>
  <si>
    <t>TEJOVATHI V</t>
  </si>
  <si>
    <t>drvmedha@gmail.com</t>
  </si>
  <si>
    <t>24UG907516</t>
  </si>
  <si>
    <t>VEL PANDIAR PR</t>
  </si>
  <si>
    <t>NRI</t>
  </si>
  <si>
    <t>PERIASAMY K</t>
  </si>
  <si>
    <t>SUMATHI P</t>
  </si>
  <si>
    <t>velpandiyar@gmail.com</t>
  </si>
  <si>
    <t>24UG905760</t>
  </si>
  <si>
    <t xml:space="preserve">VIGNESHWAR K </t>
  </si>
  <si>
    <t>KIRUBAKARAN N N</t>
  </si>
  <si>
    <t>DEVI K</t>
  </si>
  <si>
    <t>3331100952101610</t>
  </si>
  <si>
    <t>vigneshwarkirubakaran@gmail.com</t>
  </si>
  <si>
    <t>24UG807040</t>
  </si>
  <si>
    <t>VINCY C</t>
  </si>
  <si>
    <t>CHARLES D</t>
  </si>
  <si>
    <t>SOPHIA BALA</t>
  </si>
  <si>
    <t>3307120140300243</t>
  </si>
  <si>
    <t>dcharles03091979@gmail.com</t>
  </si>
  <si>
    <t>24UG903085</t>
  </si>
  <si>
    <t>VINOTH B</t>
  </si>
  <si>
    <t>BALU P</t>
  </si>
  <si>
    <t>SHOBA B</t>
  </si>
  <si>
    <t>3301100680403798</t>
  </si>
  <si>
    <t>shobapbalu@gmail.com</t>
  </si>
  <si>
    <t>24UG811755</t>
  </si>
  <si>
    <t>VISHWA S</t>
  </si>
  <si>
    <t>SARAVANAN K</t>
  </si>
  <si>
    <t>THAMILSELVI S</t>
  </si>
  <si>
    <t>3305010142102081</t>
  </si>
  <si>
    <t>vishwasaravanan32@gmail.com</t>
  </si>
  <si>
    <t>List of Student's M.B.B.S for the Year 2025-2026 (NMC Format) Name of the Medical College : Arunai Medical College</t>
  </si>
  <si>
    <t>Persons with Disability(PWD)</t>
  </si>
  <si>
    <t>Marks Obtained 10 +2 (PCB)</t>
  </si>
  <si>
    <t>Maximum Marks 10 +2 (PCB)</t>
  </si>
  <si>
    <t>Marks Obtained 10 +2 (English)</t>
  </si>
  <si>
    <t>Maximum Marks  10 +2 (English</t>
  </si>
  <si>
    <t xml:space="preserve">         English Percentage</t>
  </si>
  <si>
    <t>Entrance Exam Name</t>
  </si>
  <si>
    <t>Marks Obtained in  Entrance Exam</t>
  </si>
  <si>
    <t>/Maximum Marks in  Entrance Exam</t>
  </si>
  <si>
    <t>Entrance Exam Percentage</t>
  </si>
  <si>
    <t>AADHI SREE J</t>
  </si>
  <si>
    <t>NO</t>
  </si>
  <si>
    <t>AASHIKA S</t>
  </si>
  <si>
    <t>AATHITHYA BL</t>
  </si>
  <si>
    <t>ABDUL RASEEN N</t>
  </si>
  <si>
    <t>ABIJEETH KANNAN ST</t>
  </si>
  <si>
    <t>ACME GEOSTEIN SP</t>
  </si>
  <si>
    <t>ADHITHYAA SJ</t>
  </si>
  <si>
    <t>ADHIYAMAN R</t>
  </si>
  <si>
    <t>ADITHYA R</t>
  </si>
  <si>
    <t xml:space="preserve">AGHIL AHMED M </t>
  </si>
  <si>
    <t>AISWARAYA M</t>
  </si>
  <si>
    <t>AKSHAY RAJ V</t>
  </si>
  <si>
    <t>AKSHITHA  SA</t>
  </si>
  <si>
    <t>AMIRTHA SHREE S</t>
  </si>
  <si>
    <t xml:space="preserve">ANITHA J </t>
  </si>
  <si>
    <t>ANUSHREE KS</t>
  </si>
  <si>
    <t>ARCHANA M</t>
  </si>
  <si>
    <t>7.5 R</t>
  </si>
  <si>
    <t>NA(7.5)</t>
  </si>
  <si>
    <t>ARCHANA S</t>
  </si>
  <si>
    <t>ARIVAZHAGAN P</t>
  </si>
  <si>
    <t xml:space="preserve">ARTHI R </t>
  </si>
  <si>
    <t>ARUN A</t>
  </si>
  <si>
    <t>ASHWATHI D</t>
  </si>
  <si>
    <t>ATHARSH AB</t>
  </si>
  <si>
    <t>AVANTHI N</t>
  </si>
  <si>
    <t>BALA S</t>
  </si>
  <si>
    <t>BARAKATHU NISHA J</t>
  </si>
  <si>
    <t>BHARANI K M</t>
  </si>
  <si>
    <t>BHAVADHARANI V</t>
  </si>
  <si>
    <t>BHAVYA  J</t>
  </si>
  <si>
    <t>BHAVYA SRI M</t>
  </si>
  <si>
    <t xml:space="preserve">BRINDASHRI G </t>
  </si>
  <si>
    <t>CATHERINE PATRICIA A</t>
  </si>
  <si>
    <t>CLEMENT SHERLY INFANT A</t>
  </si>
  <si>
    <t xml:space="preserve">DEVADHARSHINI M </t>
  </si>
  <si>
    <t>DEVAPRIYAN P</t>
  </si>
  <si>
    <t>DHARANI K</t>
  </si>
  <si>
    <t>DHARINI  N D</t>
  </si>
  <si>
    <t>DHINEESH R J</t>
  </si>
  <si>
    <t>DHINESH KARTHI R</t>
  </si>
  <si>
    <t xml:space="preserve">DHURGESH K </t>
  </si>
  <si>
    <t>ESTHAR V</t>
  </si>
  <si>
    <t>FAZIL ARSHAD MYDEEN I</t>
  </si>
  <si>
    <t>GAUTAM M J</t>
  </si>
  <si>
    <t>GHANASREE R T</t>
  </si>
  <si>
    <t>GIRINATH R</t>
  </si>
  <si>
    <t>GOKUL S</t>
  </si>
  <si>
    <t>GOPIKA SHRI VS</t>
  </si>
  <si>
    <t>HARINI PRITHIGHA A</t>
  </si>
  <si>
    <t>HARIPRIYAN S</t>
  </si>
  <si>
    <t>HARISH KARTHI S</t>
  </si>
  <si>
    <t>HARISH V</t>
  </si>
  <si>
    <t>HARISHKA M</t>
  </si>
  <si>
    <t xml:space="preserve">HASWANTH BALAJI S </t>
  </si>
  <si>
    <t>HEMA PRIYA DHARSHINI R</t>
  </si>
  <si>
    <t>HEMAMALINI S</t>
  </si>
  <si>
    <t xml:space="preserve">HUSNA SADAF SHAMSHERI </t>
  </si>
  <si>
    <t>ILAMARAN R</t>
  </si>
  <si>
    <t>JAIDEEP S</t>
  </si>
  <si>
    <t>JAIESH R</t>
  </si>
  <si>
    <t>JANANISRI R</t>
  </si>
  <si>
    <t>JANARDANAN S</t>
  </si>
  <si>
    <t xml:space="preserve">JANARTHANAN R </t>
  </si>
  <si>
    <t xml:space="preserve">JAYAADITYA PRABAHARAN </t>
  </si>
  <si>
    <t>JAYASRI G</t>
  </si>
  <si>
    <t>JAYASRI V</t>
  </si>
  <si>
    <t>JEEVENTHAN B</t>
  </si>
  <si>
    <t>JEONA JOHNSON J E</t>
  </si>
  <si>
    <t>JITIN S</t>
  </si>
  <si>
    <t>JOSHITHA REDDY S</t>
  </si>
  <si>
    <t>KAARTHICK SANKAR K M</t>
  </si>
  <si>
    <t>KAAVYA M</t>
  </si>
  <si>
    <t>KALPANA CHAWALA S</t>
  </si>
  <si>
    <t>KAMALESH K</t>
  </si>
  <si>
    <t>KAMALESHWARAN G</t>
  </si>
  <si>
    <t>KAMALESHWARAN S</t>
  </si>
  <si>
    <t>KAVISHREE M</t>
  </si>
  <si>
    <t>KESAVAN A</t>
  </si>
  <si>
    <t>KIRISHA S</t>
  </si>
  <si>
    <t>KIRUTHIGA R</t>
  </si>
  <si>
    <t xml:space="preserve">KOPIKKA MOORTHY </t>
  </si>
  <si>
    <t>KRISH ROSHNI D</t>
  </si>
  <si>
    <t>KRISHITHA V</t>
  </si>
  <si>
    <t>KRISHNA MURARRI  L K</t>
  </si>
  <si>
    <t>LAKSHMITVESH C</t>
  </si>
  <si>
    <t>LEENA S K</t>
  </si>
  <si>
    <t>LOGESH M A</t>
  </si>
  <si>
    <t>LOGESHWARAN RS</t>
  </si>
  <si>
    <t>MADHANAKIRUBAGAR S</t>
  </si>
  <si>
    <t>MAMTHA SRI A</t>
  </si>
  <si>
    <t xml:space="preserve">MANISHA SELVAM </t>
  </si>
  <si>
    <t>MANOJ B</t>
  </si>
  <si>
    <t>MEGHNA VARSAA RB</t>
  </si>
  <si>
    <t xml:space="preserve">MICHAELE DANIELLA LINGAMDENNE </t>
  </si>
  <si>
    <t>MINARVA DEVI S</t>
  </si>
  <si>
    <t>MIRUTHULA S</t>
  </si>
  <si>
    <t>MOHANA KRISHNAN S</t>
  </si>
  <si>
    <t>MONISHA C</t>
  </si>
  <si>
    <t>MUKESH BALA S</t>
  </si>
  <si>
    <t>MUKUNTHRAJ  KS</t>
  </si>
  <si>
    <t>MURSHITHA NEHAR M</t>
  </si>
  <si>
    <t>NANDHINI  S</t>
  </si>
  <si>
    <t>NAVEEN R</t>
  </si>
  <si>
    <t>NAVEEN V</t>
  </si>
  <si>
    <t>NIKHITHA SRI M</t>
  </si>
  <si>
    <t>NILAVAZHAHI  DA</t>
  </si>
  <si>
    <t>NIVEDHITA N</t>
  </si>
  <si>
    <t>NIVETHA R</t>
  </si>
  <si>
    <t>PALLAVI K</t>
  </si>
  <si>
    <t>PAVITHIGA C</t>
  </si>
  <si>
    <t>PAVITHRA R S</t>
  </si>
  <si>
    <t>POOJA SRI N</t>
  </si>
  <si>
    <t>POORNIMA T</t>
  </si>
  <si>
    <t>PRAMIKA M</t>
  </si>
  <si>
    <t xml:space="preserve">PRANIKA S </t>
  </si>
  <si>
    <t>PRASANNA DEVI NJ</t>
  </si>
  <si>
    <t>PRASANTH V</t>
  </si>
  <si>
    <t>PRATEEKSHA TR</t>
  </si>
  <si>
    <t>PREETHA K</t>
  </si>
  <si>
    <t>PREM KUMAR S</t>
  </si>
  <si>
    <t>PRITHIVI ROSHAN S</t>
  </si>
  <si>
    <t>PRIYAA DHARSANA V S</t>
  </si>
  <si>
    <t>PRIYADHARSHINI A</t>
  </si>
  <si>
    <t>PURVIKA DS</t>
  </si>
  <si>
    <t>PUSHPARAJ B</t>
  </si>
  <si>
    <t>RAAGA SRI LOGANATHAN SASIKALA</t>
  </si>
  <si>
    <t xml:space="preserve">RAHUL R </t>
  </si>
  <si>
    <t>RAJIYA SRI P</t>
  </si>
  <si>
    <t>RAKSHANAA M</t>
  </si>
  <si>
    <t>RAKSHITHA M</t>
  </si>
  <si>
    <t xml:space="preserve">RAMYA PRIYAN </t>
  </si>
  <si>
    <t>RAMYA SHREE T</t>
  </si>
  <si>
    <t>RANJITH R</t>
  </si>
  <si>
    <t>RICHARD JEFFREY  J</t>
  </si>
  <si>
    <t>RITHANYA  S</t>
  </si>
  <si>
    <t>RITISH J M</t>
  </si>
  <si>
    <t>ROSHINI A</t>
  </si>
  <si>
    <t>RUBA DHARSHINI P</t>
  </si>
  <si>
    <t>SABARITHASAN K</t>
  </si>
  <si>
    <t>SAI VENKATA RANGA S</t>
  </si>
  <si>
    <t xml:space="preserve">SAIVARSHINI K </t>
  </si>
  <si>
    <t xml:space="preserve">SANDHIYA B </t>
  </si>
  <si>
    <t>SANDHIYA V</t>
  </si>
  <si>
    <t>7.5R</t>
  </si>
  <si>
    <t>SANGAVI N</t>
  </si>
  <si>
    <t>SELVARATHNAM SIVAKUMAR</t>
  </si>
  <si>
    <t>SELVIN V</t>
  </si>
  <si>
    <t>SHASHANK  T</t>
  </si>
  <si>
    <t>SHIVANI A</t>
  </si>
  <si>
    <t>SHIVANI R</t>
  </si>
  <si>
    <t>SHOBANAPRIYA TE</t>
  </si>
  <si>
    <t>SHOBANKUMAR S</t>
  </si>
  <si>
    <t>SHREE NIVETHA</t>
  </si>
  <si>
    <t>SHRUTHIKA S</t>
  </si>
  <si>
    <t xml:space="preserve">SIVARAJ M </t>
  </si>
  <si>
    <t>SIVASUBRAMANIAN  K</t>
  </si>
  <si>
    <t>SREKUMARAN R T</t>
  </si>
  <si>
    <t xml:space="preserve">SRI BHAVYA R </t>
  </si>
  <si>
    <t>SRIMADHI D</t>
  </si>
  <si>
    <t>SRIMATHI A</t>
  </si>
  <si>
    <t>SUBASRI A</t>
  </si>
  <si>
    <t xml:space="preserve">SUBINITHYA  S </t>
  </si>
  <si>
    <t>SUDHARSHAN V</t>
  </si>
  <si>
    <t xml:space="preserve">SUDHARSHANAA MANIKANDAN </t>
  </si>
  <si>
    <t>SUGESH M</t>
  </si>
  <si>
    <t>SUKANYA  M</t>
  </si>
  <si>
    <t>SUNDARI KT</t>
  </si>
  <si>
    <t>SWATHI R</t>
  </si>
  <si>
    <t xml:space="preserve">SWETHA K S </t>
  </si>
  <si>
    <t>SWETHIKAA K</t>
  </si>
  <si>
    <t>TAMILMULLAI P K</t>
  </si>
  <si>
    <t xml:space="preserve">TAMILSELVAN R </t>
  </si>
  <si>
    <t>TARUNIKA A</t>
  </si>
  <si>
    <t>THAARIKA NK</t>
  </si>
  <si>
    <t>THANUSHRI A</t>
  </si>
  <si>
    <t xml:space="preserve">THARINI S </t>
  </si>
  <si>
    <t>THARUN KUMAR M</t>
  </si>
  <si>
    <t>THARUN S</t>
  </si>
  <si>
    <t>THEJESVAR D</t>
  </si>
  <si>
    <t>THENMOZHI J</t>
  </si>
  <si>
    <t>TOSHANI P</t>
  </si>
  <si>
    <t>UDHAYANITHI S</t>
  </si>
  <si>
    <t>VAISHEAK V</t>
  </si>
  <si>
    <t>VAISHNAVI K</t>
  </si>
  <si>
    <t>VARSHINI M M A</t>
  </si>
  <si>
    <t>VARSHINI S</t>
  </si>
  <si>
    <t>VENKATESH VARSHAN S</t>
  </si>
  <si>
    <t>VIJAYA SHREE S A</t>
  </si>
  <si>
    <t>VIKAS L</t>
  </si>
  <si>
    <t>VIKASHINI N B</t>
  </si>
  <si>
    <t>VISHAALI J</t>
  </si>
  <si>
    <t>VISHNU S</t>
  </si>
  <si>
    <t>VISHNU VILASHINI B</t>
  </si>
  <si>
    <t>VIVEKA SRI AT</t>
  </si>
  <si>
    <t xml:space="preserve">YAZHINI CHANDRASEKARAN </t>
  </si>
  <si>
    <t xml:space="preserve">YOGEAS P </t>
  </si>
  <si>
    <t>YOGESHWARI S</t>
  </si>
  <si>
    <t>YOGITA SHRI REDDY J</t>
  </si>
  <si>
    <t xml:space="preserve">YOHITHA SUNDARRAJ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</si>
</sst>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yy;@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0"/>
      <color theme="1"/>
      <name val="Bookman Old Style"/>
      <family val="1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1" xfId="0" applyFont="1" applyBorder="1"/>
    <xf numFmtId="14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2" fillId="0" borderId="0" xfId="0" applyFont="1"/>
    <xf numFmtId="0" fontId="1" fillId="2" borderId="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4" fontId="1" fillId="0" borderId="0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2" fillId="0" borderId="0" xfId="0" applyFont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13" fillId="0" borderId="2" xfId="1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/>
    <xf numFmtId="0" fontId="0" fillId="2" borderId="1" xfId="0" applyFill="1" applyBorder="1"/>
    <xf numFmtId="0" fontId="0" fillId="2" borderId="0" xfId="0" applyFill="1"/>
    <xf numFmtId="0" fontId="15" fillId="0" borderId="1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left" vertical="center"/>
    </xf>
    <xf numFmtId="1" fontId="11" fillId="0" borderId="1" xfId="0" applyNumberFormat="1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left" vertical="center"/>
    </xf>
    <xf numFmtId="1" fontId="11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textRotation="90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/>
    </xf>
    <xf numFmtId="2" fontId="11" fillId="0" borderId="1" xfId="0" quotePrefix="1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1" fontId="0" fillId="0" borderId="0" xfId="0" applyNumberFormat="1" applyFill="1"/>
  </cellXfs>
  <cellStyles count="3">
    <cellStyle name="Hyperlink" xfId="2" builtinId="8"/>
    <cellStyle name="Normal" xfId="0" builtinId="0"/>
    <cellStyle name="Normal 3" xfId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0</xdr:row>
      <xdr:rowOff>19050</xdr:rowOff>
    </xdr:from>
    <xdr:to>
      <xdr:col>8</xdr:col>
      <xdr:colOff>657226</xdr:colOff>
      <xdr:row>1</xdr:row>
      <xdr:rowOff>0</xdr:rowOff>
    </xdr:to>
    <xdr:pic>
      <xdr:nvPicPr>
        <xdr:cNvPr id="2" name="Picture 1" descr="Description: Description: Description: New Log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9050"/>
          <a:ext cx="1" cy="8096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762001</xdr:colOff>
      <xdr:row>0</xdr:row>
      <xdr:rowOff>200025</xdr:rowOff>
    </xdr:from>
    <xdr:to>
      <xdr:col>6</xdr:col>
      <xdr:colOff>619125</xdr:colOff>
      <xdr:row>1</xdr:row>
      <xdr:rowOff>0</xdr:rowOff>
    </xdr:to>
    <xdr:pic>
      <xdr:nvPicPr>
        <xdr:cNvPr id="3" name="Picture 2" descr="Description: Description: Description: New 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6" y="200025"/>
          <a:ext cx="1114424" cy="10001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19050</xdr:rowOff>
    </xdr:from>
    <xdr:to>
      <xdr:col>7</xdr:col>
      <xdr:colOff>657226</xdr:colOff>
      <xdr:row>0</xdr:row>
      <xdr:rowOff>190500</xdr:rowOff>
    </xdr:to>
    <xdr:pic>
      <xdr:nvPicPr>
        <xdr:cNvPr id="2" name="Picture 1" descr="Description: Description: Description: New Log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9050"/>
          <a:ext cx="1" cy="1714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295275</xdr:colOff>
      <xdr:row>0</xdr:row>
      <xdr:rowOff>361951</xdr:rowOff>
    </xdr:from>
    <xdr:to>
      <xdr:col>6</xdr:col>
      <xdr:colOff>657225</xdr:colOff>
      <xdr:row>1</xdr:row>
      <xdr:rowOff>1</xdr:rowOff>
    </xdr:to>
    <xdr:pic>
      <xdr:nvPicPr>
        <xdr:cNvPr id="3" name="Picture 2" descr="Description: Description: Description: New 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361951"/>
          <a:ext cx="942975" cy="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990599</xdr:colOff>
      <xdr:row>0</xdr:row>
      <xdr:rowOff>371474</xdr:rowOff>
    </xdr:from>
    <xdr:to>
      <xdr:col>7</xdr:col>
      <xdr:colOff>428624</xdr:colOff>
      <xdr:row>0</xdr:row>
      <xdr:rowOff>238124</xdr:rowOff>
    </xdr:to>
    <xdr:pic>
      <xdr:nvPicPr>
        <xdr:cNvPr id="4" name="Picture 3" descr="Description: Description: Description: New 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399" y="371474"/>
          <a:ext cx="1333500" cy="638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bjeyvarshini@gmail.com" TargetMode="External"/><Relationship Id="rId117" Type="http://schemas.openxmlformats.org/officeDocument/2006/relationships/hyperlink" Target="mailto:jashj556@gmail.com" TargetMode="External"/><Relationship Id="rId21" Type="http://schemas.openxmlformats.org/officeDocument/2006/relationships/hyperlink" Target="mailto:muthuselvanm256@gmail.com" TargetMode="External"/><Relationship Id="rId42" Type="http://schemas.openxmlformats.org/officeDocument/2006/relationships/hyperlink" Target="mailto:v.sivashanmugam2006@gmail.com" TargetMode="External"/><Relationship Id="rId47" Type="http://schemas.openxmlformats.org/officeDocument/2006/relationships/hyperlink" Target="mailto:arjunanadakumar@gmail.com" TargetMode="External"/><Relationship Id="rId63" Type="http://schemas.openxmlformats.org/officeDocument/2006/relationships/hyperlink" Target="mailto:jayasabari20004@gmail.com" TargetMode="External"/><Relationship Id="rId68" Type="http://schemas.openxmlformats.org/officeDocument/2006/relationships/hyperlink" Target="mailto:saidarshan306@gmail.com" TargetMode="External"/><Relationship Id="rId84" Type="http://schemas.openxmlformats.org/officeDocument/2006/relationships/hyperlink" Target="mailto:ak0702507@gmail.com" TargetMode="External"/><Relationship Id="rId89" Type="http://schemas.openxmlformats.org/officeDocument/2006/relationships/hyperlink" Target="mailto:thayaliniv06@gmail.com" TargetMode="External"/><Relationship Id="rId112" Type="http://schemas.openxmlformats.org/officeDocument/2006/relationships/hyperlink" Target="mailto:ramyadharshinim28@gmail.com" TargetMode="External"/><Relationship Id="rId16" Type="http://schemas.openxmlformats.org/officeDocument/2006/relationships/hyperlink" Target="mailto:aiswaryasenthil2004@gmail.com" TargetMode="External"/><Relationship Id="rId107" Type="http://schemas.openxmlformats.org/officeDocument/2006/relationships/hyperlink" Target="mailto:sivakumarr442@gmail.com" TargetMode="External"/><Relationship Id="rId11" Type="http://schemas.openxmlformats.org/officeDocument/2006/relationships/hyperlink" Target="mailto:sowmethaponnusamy@gmail.com" TargetMode="External"/><Relationship Id="rId32" Type="http://schemas.openxmlformats.org/officeDocument/2006/relationships/hyperlink" Target="mailto:narmadhavenu55@gmail.com" TargetMode="External"/><Relationship Id="rId37" Type="http://schemas.openxmlformats.org/officeDocument/2006/relationships/hyperlink" Target="mailto:senbagavallip1970@gmail.com" TargetMode="External"/><Relationship Id="rId53" Type="http://schemas.openxmlformats.org/officeDocument/2006/relationships/hyperlink" Target="mailto:kpoojitha8180@gmail.com" TargetMode="External"/><Relationship Id="rId58" Type="http://schemas.openxmlformats.org/officeDocument/2006/relationships/hyperlink" Target="mailto:amrithaanand45@gmail.com" TargetMode="External"/><Relationship Id="rId74" Type="http://schemas.openxmlformats.org/officeDocument/2006/relationships/hyperlink" Target="mailto:arshadhmd69@gmail.com" TargetMode="External"/><Relationship Id="rId79" Type="http://schemas.openxmlformats.org/officeDocument/2006/relationships/hyperlink" Target="mailto:kanishk190805@gmail.com" TargetMode="External"/><Relationship Id="rId102" Type="http://schemas.openxmlformats.org/officeDocument/2006/relationships/hyperlink" Target="mailto:sreethasivakumar1512@gmail.com" TargetMode="External"/><Relationship Id="rId5" Type="http://schemas.openxmlformats.org/officeDocument/2006/relationships/hyperlink" Target="mailto:velpandiyar@gmail.com" TargetMode="External"/><Relationship Id="rId61" Type="http://schemas.openxmlformats.org/officeDocument/2006/relationships/hyperlink" Target="mailto:umasokitha1978@gmail.com" TargetMode="External"/><Relationship Id="rId82" Type="http://schemas.openxmlformats.org/officeDocument/2006/relationships/hyperlink" Target="mailto:nngg27001@gmail.com" TargetMode="External"/><Relationship Id="rId90" Type="http://schemas.openxmlformats.org/officeDocument/2006/relationships/hyperlink" Target="mailto:ppud0241@gmail.com" TargetMode="External"/><Relationship Id="rId95" Type="http://schemas.openxmlformats.org/officeDocument/2006/relationships/hyperlink" Target="mailto:dhanushree202006@gmail.com" TargetMode="External"/><Relationship Id="rId19" Type="http://schemas.openxmlformats.org/officeDocument/2006/relationships/hyperlink" Target="mailto:dcharles03091979@gmail.com" TargetMode="External"/><Relationship Id="rId14" Type="http://schemas.openxmlformats.org/officeDocument/2006/relationships/hyperlink" Target="mailto:bharathkumar.2.8.2020@gmail.com" TargetMode="External"/><Relationship Id="rId22" Type="http://schemas.openxmlformats.org/officeDocument/2006/relationships/hyperlink" Target="mailto:jaisakthi017@icloud.com" TargetMode="External"/><Relationship Id="rId27" Type="http://schemas.openxmlformats.org/officeDocument/2006/relationships/hyperlink" Target="mailto:kperumalsai@gmail.com" TargetMode="External"/><Relationship Id="rId30" Type="http://schemas.openxmlformats.org/officeDocument/2006/relationships/hyperlink" Target="mailto:mnavinitha@gmail.com" TargetMode="External"/><Relationship Id="rId35" Type="http://schemas.openxmlformats.org/officeDocument/2006/relationships/hyperlink" Target="mailto:sudharsanbalakrishnasamy@gmail.com" TargetMode="External"/><Relationship Id="rId43" Type="http://schemas.openxmlformats.org/officeDocument/2006/relationships/hyperlink" Target="mailto:surisaravanan2007@gmail.com" TargetMode="External"/><Relationship Id="rId48" Type="http://schemas.openxmlformats.org/officeDocument/2006/relationships/hyperlink" Target="mailto:abinayadhanapal271@gmail.com" TargetMode="External"/><Relationship Id="rId56" Type="http://schemas.openxmlformats.org/officeDocument/2006/relationships/hyperlink" Target="mailto:swethaswathikamswethaswathikam@gmail.com" TargetMode="External"/><Relationship Id="rId64" Type="http://schemas.openxmlformats.org/officeDocument/2006/relationships/hyperlink" Target="mailto:andrilaishu90@gmail.com" TargetMode="External"/><Relationship Id="rId69" Type="http://schemas.openxmlformats.org/officeDocument/2006/relationships/hyperlink" Target="mailto:tntvaishnavi1@gmail.com" TargetMode="External"/><Relationship Id="rId77" Type="http://schemas.openxmlformats.org/officeDocument/2006/relationships/hyperlink" Target="mailto:888divyashree888@gmail.com" TargetMode="External"/><Relationship Id="rId100" Type="http://schemas.openxmlformats.org/officeDocument/2006/relationships/hyperlink" Target="mailto:palaniveludpm@gmail.com" TargetMode="External"/><Relationship Id="rId105" Type="http://schemas.openxmlformats.org/officeDocument/2006/relationships/hyperlink" Target="mailto:elavarsi7575@gmail.com" TargetMode="External"/><Relationship Id="rId113" Type="http://schemas.openxmlformats.org/officeDocument/2006/relationships/hyperlink" Target="mailto:nithishanandan24@gmail.com" TargetMode="External"/><Relationship Id="rId118" Type="http://schemas.openxmlformats.org/officeDocument/2006/relationships/hyperlink" Target="mailto:sangeethavani223@gmail.com" TargetMode="External"/><Relationship Id="rId8" Type="http://schemas.openxmlformats.org/officeDocument/2006/relationships/hyperlink" Target="mailto:vigneshwarkirubakaran@gmail.com" TargetMode="External"/><Relationship Id="rId51" Type="http://schemas.openxmlformats.org/officeDocument/2006/relationships/hyperlink" Target="mailto:dhivyadd0912@gmail.com" TargetMode="External"/><Relationship Id="rId72" Type="http://schemas.openxmlformats.org/officeDocument/2006/relationships/hyperlink" Target="mailto:shreearases@gmail.com" TargetMode="External"/><Relationship Id="rId80" Type="http://schemas.openxmlformats.org/officeDocument/2006/relationships/hyperlink" Target="mailto:zenisoniya@gmail.com" TargetMode="External"/><Relationship Id="rId85" Type="http://schemas.openxmlformats.org/officeDocument/2006/relationships/hyperlink" Target="mailto:vishwasaravanan32@gmail.com" TargetMode="External"/><Relationship Id="rId93" Type="http://schemas.openxmlformats.org/officeDocument/2006/relationships/hyperlink" Target="mailto:esthujoe17@gmail.com" TargetMode="External"/><Relationship Id="rId98" Type="http://schemas.openxmlformats.org/officeDocument/2006/relationships/hyperlink" Target="mailto:harisathiya2@gmail.com" TargetMode="External"/><Relationship Id="rId121" Type="http://schemas.openxmlformats.org/officeDocument/2006/relationships/hyperlink" Target="mailto:gokulprasath77p@gmail.com" TargetMode="External"/><Relationship Id="rId3" Type="http://schemas.openxmlformats.org/officeDocument/2006/relationships/hyperlink" Target="mailto:akiladhanapal0572@gmail.com" TargetMode="External"/><Relationship Id="rId12" Type="http://schemas.openxmlformats.org/officeDocument/2006/relationships/hyperlink" Target="mailto:aswinmuthiah2107@gmail.com" TargetMode="External"/><Relationship Id="rId17" Type="http://schemas.openxmlformats.org/officeDocument/2006/relationships/hyperlink" Target="mailto:praveenannakamatchi45@gmail.com" TargetMode="External"/><Relationship Id="rId25" Type="http://schemas.openxmlformats.org/officeDocument/2006/relationships/hyperlink" Target="mailto:swathika7686@gmail.com" TargetMode="External"/><Relationship Id="rId33" Type="http://schemas.openxmlformats.org/officeDocument/2006/relationships/hyperlink" Target="mailto:raksith100@gmail.com" TargetMode="External"/><Relationship Id="rId38" Type="http://schemas.openxmlformats.org/officeDocument/2006/relationships/hyperlink" Target="mailto:itsaaqilmohamed@gmail.com" TargetMode="External"/><Relationship Id="rId46" Type="http://schemas.openxmlformats.org/officeDocument/2006/relationships/hyperlink" Target="mailto:sugapriya.g.p.2021@gmail.com" TargetMode="External"/><Relationship Id="rId59" Type="http://schemas.openxmlformats.org/officeDocument/2006/relationships/hyperlink" Target="mailto:slishantivarshini@gmail.com" TargetMode="External"/><Relationship Id="rId67" Type="http://schemas.openxmlformats.org/officeDocument/2006/relationships/hyperlink" Target="mailto:hevikasj@gmail.com" TargetMode="External"/><Relationship Id="rId103" Type="http://schemas.openxmlformats.org/officeDocument/2006/relationships/hyperlink" Target="mailto:harisumi2084@gmail.com" TargetMode="External"/><Relationship Id="rId108" Type="http://schemas.openxmlformats.org/officeDocument/2006/relationships/hyperlink" Target="mailto:akshulakshana2109@gmail.com" TargetMode="External"/><Relationship Id="rId116" Type="http://schemas.openxmlformats.org/officeDocument/2006/relationships/hyperlink" Target="mailto:shahanaravi2004@gmail.com" TargetMode="External"/><Relationship Id="rId20" Type="http://schemas.openxmlformats.org/officeDocument/2006/relationships/hyperlink" Target="mailto:kasi182459c@gmail.com" TargetMode="External"/><Relationship Id="rId41" Type="http://schemas.openxmlformats.org/officeDocument/2006/relationships/hyperlink" Target="mailto:kaviyadd04@gmail.com" TargetMode="External"/><Relationship Id="rId54" Type="http://schemas.openxmlformats.org/officeDocument/2006/relationships/hyperlink" Target="mailto:csaran1308@gmail.com" TargetMode="External"/><Relationship Id="rId62" Type="http://schemas.openxmlformats.org/officeDocument/2006/relationships/hyperlink" Target="mailto:janahieamanadeepika@gmail.com" TargetMode="External"/><Relationship Id="rId70" Type="http://schemas.openxmlformats.org/officeDocument/2006/relationships/hyperlink" Target="mailto:sitteshm@gmail.com" TargetMode="External"/><Relationship Id="rId75" Type="http://schemas.openxmlformats.org/officeDocument/2006/relationships/hyperlink" Target="mailto:mnavinperumal@gmail.com" TargetMode="External"/><Relationship Id="rId83" Type="http://schemas.openxmlformats.org/officeDocument/2006/relationships/hyperlink" Target="mailto:sgopu13@gmail.com" TargetMode="External"/><Relationship Id="rId88" Type="http://schemas.openxmlformats.org/officeDocument/2006/relationships/hyperlink" Target="mailto:harshinie1015@gmail.com" TargetMode="External"/><Relationship Id="rId91" Type="http://schemas.openxmlformats.org/officeDocument/2006/relationships/hyperlink" Target="mailto:thanishka29ks@gmail.com" TargetMode="External"/><Relationship Id="rId96" Type="http://schemas.openxmlformats.org/officeDocument/2006/relationships/hyperlink" Target="mailto:drohith567@gmail.com" TargetMode="External"/><Relationship Id="rId111" Type="http://schemas.openxmlformats.org/officeDocument/2006/relationships/hyperlink" Target="mailto:shyleshelumalai@gmail.com" TargetMode="External"/><Relationship Id="rId1" Type="http://schemas.openxmlformats.org/officeDocument/2006/relationships/hyperlink" Target="mailto:hemamk0707@gmail.com" TargetMode="External"/><Relationship Id="rId6" Type="http://schemas.openxmlformats.org/officeDocument/2006/relationships/hyperlink" Target="mailto:subrayalu2017@gmail.com" TargetMode="External"/><Relationship Id="rId15" Type="http://schemas.openxmlformats.org/officeDocument/2006/relationships/hyperlink" Target="mailto:freedafreedat@gmail.com" TargetMode="External"/><Relationship Id="rId23" Type="http://schemas.openxmlformats.org/officeDocument/2006/relationships/hyperlink" Target="mailto:rjmadhusri@gmail.com" TargetMode="External"/><Relationship Id="rId28" Type="http://schemas.openxmlformats.org/officeDocument/2006/relationships/hyperlink" Target="mailto:goodtejo@gmail.com" TargetMode="External"/><Relationship Id="rId36" Type="http://schemas.openxmlformats.org/officeDocument/2006/relationships/hyperlink" Target="mailto:preethipayal2007@gmail.com" TargetMode="External"/><Relationship Id="rId49" Type="http://schemas.openxmlformats.org/officeDocument/2006/relationships/hyperlink" Target="mailto:kmtheebigaa@gmail.com" TargetMode="External"/><Relationship Id="rId57" Type="http://schemas.openxmlformats.org/officeDocument/2006/relationships/hyperlink" Target="mailto:vdeva1178@gmail.com" TargetMode="External"/><Relationship Id="rId106" Type="http://schemas.openxmlformats.org/officeDocument/2006/relationships/hyperlink" Target="mailto:gokulthiyagu44@gmail.com" TargetMode="External"/><Relationship Id="rId114" Type="http://schemas.openxmlformats.org/officeDocument/2006/relationships/hyperlink" Target="mailto:jerfintoney1304@gmail.com" TargetMode="External"/><Relationship Id="rId119" Type="http://schemas.openxmlformats.org/officeDocument/2006/relationships/hyperlink" Target="mailto:deepthi190605@gmail.com" TargetMode="External"/><Relationship Id="rId10" Type="http://schemas.openxmlformats.org/officeDocument/2006/relationships/hyperlink" Target="mailto:prabakarjoshua004@gmail.com" TargetMode="External"/><Relationship Id="rId31" Type="http://schemas.openxmlformats.org/officeDocument/2006/relationships/hyperlink" Target="mailto:hemrv2006@gmail.com" TargetMode="External"/><Relationship Id="rId44" Type="http://schemas.openxmlformats.org/officeDocument/2006/relationships/hyperlink" Target="mailto:sherlypeerthika2004@gmail,com" TargetMode="External"/><Relationship Id="rId52" Type="http://schemas.openxmlformats.org/officeDocument/2006/relationships/hyperlink" Target="mailto:priyadharshini.v7777@gmail.com" TargetMode="External"/><Relationship Id="rId60" Type="http://schemas.openxmlformats.org/officeDocument/2006/relationships/hyperlink" Target="mailto:aniruddhvinayagar@gmail.com" TargetMode="External"/><Relationship Id="rId65" Type="http://schemas.openxmlformats.org/officeDocument/2006/relationships/hyperlink" Target="mailto:mohamedansary554@gmail.com" TargetMode="External"/><Relationship Id="rId73" Type="http://schemas.openxmlformats.org/officeDocument/2006/relationships/hyperlink" Target="mailto:gobika82005@gmail.com" TargetMode="External"/><Relationship Id="rId78" Type="http://schemas.openxmlformats.org/officeDocument/2006/relationships/hyperlink" Target="mailto:harinikannan1122@gmail.com" TargetMode="External"/><Relationship Id="rId81" Type="http://schemas.openxmlformats.org/officeDocument/2006/relationships/hyperlink" Target="mailto:mdsubashree@gmail.com" TargetMode="External"/><Relationship Id="rId86" Type="http://schemas.openxmlformats.org/officeDocument/2006/relationships/hyperlink" Target="mailto:ashwinvs308@gmail.com" TargetMode="External"/><Relationship Id="rId94" Type="http://schemas.openxmlformats.org/officeDocument/2006/relationships/hyperlink" Target="mailto:drvmedha@gmail.com" TargetMode="External"/><Relationship Id="rId99" Type="http://schemas.openxmlformats.org/officeDocument/2006/relationships/hyperlink" Target="mailto:KUMAR9080459500@GMAIL.COM" TargetMode="External"/><Relationship Id="rId101" Type="http://schemas.openxmlformats.org/officeDocument/2006/relationships/hyperlink" Target="mailto:jayeshr9a@gmail.com" TargetMode="External"/><Relationship Id="rId122" Type="http://schemas.openxmlformats.org/officeDocument/2006/relationships/drawing" Target="../drawings/drawing2.xml"/><Relationship Id="rId4" Type="http://schemas.openxmlformats.org/officeDocument/2006/relationships/hyperlink" Target="mailto:nishananthu25@gmail.com" TargetMode="External"/><Relationship Id="rId9" Type="http://schemas.openxmlformats.org/officeDocument/2006/relationships/hyperlink" Target="mailto:hemalathaumadevi2006@gmail.com" TargetMode="External"/><Relationship Id="rId13" Type="http://schemas.openxmlformats.org/officeDocument/2006/relationships/hyperlink" Target="mailto:sathyan6221@gmail.com" TargetMode="External"/><Relationship Id="rId18" Type="http://schemas.openxmlformats.org/officeDocument/2006/relationships/hyperlink" Target="mailto:varshasellamuthu27@gmail.com" TargetMode="External"/><Relationship Id="rId39" Type="http://schemas.openxmlformats.org/officeDocument/2006/relationships/hyperlink" Target="mailto:subashsgr8@gmail.com" TargetMode="External"/><Relationship Id="rId109" Type="http://schemas.openxmlformats.org/officeDocument/2006/relationships/hyperlink" Target="mailto:kuttaiubu@gmail.com" TargetMode="External"/><Relationship Id="rId34" Type="http://schemas.openxmlformats.org/officeDocument/2006/relationships/hyperlink" Target="mailto:bkirthikeshwar@gmail.com" TargetMode="External"/><Relationship Id="rId50" Type="http://schemas.openxmlformats.org/officeDocument/2006/relationships/hyperlink" Target="mailto:badmavebu@gmail.com" TargetMode="External"/><Relationship Id="rId55" Type="http://schemas.openxmlformats.org/officeDocument/2006/relationships/hyperlink" Target="mailto:raghulramesh.rr1@gmail.com" TargetMode="External"/><Relationship Id="rId76" Type="http://schemas.openxmlformats.org/officeDocument/2006/relationships/hyperlink" Target="mailto:dhanusudhakaran24@gmail.com" TargetMode="External"/><Relationship Id="rId97" Type="http://schemas.openxmlformats.org/officeDocument/2006/relationships/hyperlink" Target="mailto:jothidr2003@gmail.com" TargetMode="External"/><Relationship Id="rId104" Type="http://schemas.openxmlformats.org/officeDocument/2006/relationships/hyperlink" Target="mailto:shobapbalu@gmail.com" TargetMode="External"/><Relationship Id="rId120" Type="http://schemas.openxmlformats.org/officeDocument/2006/relationships/hyperlink" Target="mailto:sanjausenthil1234@gmail.com" TargetMode="External"/><Relationship Id="rId7" Type="http://schemas.openxmlformats.org/officeDocument/2006/relationships/hyperlink" Target="mailto:abhinayasri2807@gmail.com" TargetMode="External"/><Relationship Id="rId71" Type="http://schemas.openxmlformats.org/officeDocument/2006/relationships/hyperlink" Target="mailto:keerthanav078@gmail.com" TargetMode="External"/><Relationship Id="rId92" Type="http://schemas.openxmlformats.org/officeDocument/2006/relationships/hyperlink" Target="mailto:arunasankar2102005@gmail.com" TargetMode="External"/><Relationship Id="rId2" Type="http://schemas.openxmlformats.org/officeDocument/2006/relationships/hyperlink" Target="mailto:iyappanv027@gmail.com" TargetMode="External"/><Relationship Id="rId29" Type="http://schemas.openxmlformats.org/officeDocument/2006/relationships/hyperlink" Target="mailto:kabilakishor@gmail.com" TargetMode="External"/><Relationship Id="rId24" Type="http://schemas.openxmlformats.org/officeDocument/2006/relationships/hyperlink" Target="mailto:anjanagajap@gmail.com" TargetMode="External"/><Relationship Id="rId40" Type="http://schemas.openxmlformats.org/officeDocument/2006/relationships/hyperlink" Target="mailto:dhyandhyan7@gmail.com" TargetMode="External"/><Relationship Id="rId45" Type="http://schemas.openxmlformats.org/officeDocument/2006/relationships/hyperlink" Target="mailto:shankarimurugan0511@gmail.com" TargetMode="External"/><Relationship Id="rId66" Type="http://schemas.openxmlformats.org/officeDocument/2006/relationships/hyperlink" Target="mailto:tamilarasansrini2003@gmail.com" TargetMode="External"/><Relationship Id="rId87" Type="http://schemas.openxmlformats.org/officeDocument/2006/relationships/hyperlink" Target="mailto:nitishshanmugam2020@gmail.com" TargetMode="External"/><Relationship Id="rId110" Type="http://schemas.openxmlformats.org/officeDocument/2006/relationships/hyperlink" Target="mailto:sprithiindia@gmail.com" TargetMode="External"/><Relationship Id="rId115" Type="http://schemas.openxmlformats.org/officeDocument/2006/relationships/hyperlink" Target="mailto:sushmanivas12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6"/>
  <sheetViews>
    <sheetView topLeftCell="A151" workbookViewId="0">
      <selection activeCell="C172" sqref="C172"/>
    </sheetView>
  </sheetViews>
  <sheetFormatPr defaultRowHeight="15" x14ac:dyDescent="0.25"/>
  <cols>
    <col min="1" max="1" width="7.28515625" customWidth="1"/>
    <col min="2" max="2" width="10.85546875" customWidth="1"/>
    <col min="3" max="3" width="43.140625" bestFit="1" customWidth="1"/>
    <col min="6" max="6" width="19.7109375" customWidth="1"/>
    <col min="7" max="7" width="11.28515625" bestFit="1" customWidth="1"/>
    <col min="8" max="8" width="16.5703125" bestFit="1" customWidth="1"/>
    <col min="9" max="9" width="13.7109375" customWidth="1"/>
    <col min="10" max="10" width="14.85546875" customWidth="1"/>
    <col min="11" max="11" width="16.7109375" customWidth="1"/>
    <col min="12" max="12" width="13.85546875" customWidth="1"/>
    <col min="13" max="13" width="14.28515625" customWidth="1"/>
    <col min="14" max="14" width="17" customWidth="1"/>
    <col min="15" max="15" width="13.85546875" customWidth="1"/>
    <col min="16" max="16" width="17.140625" customWidth="1"/>
    <col min="17" max="17" width="12.140625" customWidth="1"/>
    <col min="18" max="18" width="16.5703125" customWidth="1"/>
    <col min="19" max="19" width="14.5703125" bestFit="1" customWidth="1"/>
    <col min="20" max="20" width="9.140625" bestFit="1" customWidth="1"/>
    <col min="21" max="21" width="15.7109375" bestFit="1" customWidth="1"/>
    <col min="22" max="22" width="8" bestFit="1" customWidth="1"/>
  </cols>
  <sheetData>
    <row r="1" spans="1:22" ht="15.75" x14ac:dyDescent="0.25">
      <c r="A1" s="1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3"/>
      <c r="S1" s="1"/>
      <c r="T1" s="3"/>
      <c r="U1" s="1"/>
      <c r="V1" s="1"/>
    </row>
    <row r="2" spans="1:22" ht="15.75" x14ac:dyDescent="0.25">
      <c r="A2" s="1"/>
      <c r="B2" s="1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R2" s="3"/>
      <c r="S2" s="1"/>
      <c r="T2" s="3"/>
      <c r="U2" s="1"/>
      <c r="V2" s="1"/>
    </row>
    <row r="3" spans="1:22" ht="15.75" x14ac:dyDescent="0.25">
      <c r="A3" s="1"/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3"/>
      <c r="S3" s="1"/>
      <c r="T3" s="3"/>
      <c r="U3" s="1"/>
      <c r="V3" s="1"/>
    </row>
    <row r="4" spans="1:22" ht="15.75" x14ac:dyDescent="0.25">
      <c r="A4" s="1"/>
      <c r="B4" s="1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1"/>
      <c r="P4" s="1"/>
      <c r="Q4" s="1"/>
      <c r="R4" s="3"/>
      <c r="S4" s="1"/>
      <c r="T4" s="3"/>
      <c r="U4" s="1"/>
      <c r="V4" s="1"/>
    </row>
    <row r="5" spans="1:22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6">
        <v>14</v>
      </c>
      <c r="O5" s="5">
        <v>15</v>
      </c>
      <c r="P5" s="5">
        <v>16</v>
      </c>
      <c r="Q5" s="5">
        <v>17</v>
      </c>
      <c r="R5" s="5">
        <v>18</v>
      </c>
      <c r="S5" s="5">
        <v>19</v>
      </c>
      <c r="T5" s="5">
        <v>20</v>
      </c>
      <c r="U5" s="5">
        <v>21</v>
      </c>
      <c r="V5" s="5">
        <v>22</v>
      </c>
    </row>
    <row r="6" spans="1:22" ht="117.75" customHeight="1" x14ac:dyDescent="0.25">
      <c r="A6" s="7" t="s">
        <v>2</v>
      </c>
      <c r="B6" s="8" t="s">
        <v>3</v>
      </c>
      <c r="C6" s="7" t="s">
        <v>4</v>
      </c>
      <c r="D6" s="7" t="s">
        <v>5</v>
      </c>
      <c r="E6" s="8" t="s">
        <v>6</v>
      </c>
      <c r="F6" s="8" t="s">
        <v>7</v>
      </c>
      <c r="G6" s="7" t="s">
        <v>8</v>
      </c>
      <c r="H6" s="7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  <c r="O6" s="8" t="s">
        <v>16</v>
      </c>
      <c r="P6" s="8" t="s">
        <v>17</v>
      </c>
      <c r="Q6" s="8" t="s">
        <v>18</v>
      </c>
      <c r="R6" s="9" t="s">
        <v>19</v>
      </c>
      <c r="S6" s="8" t="s">
        <v>20</v>
      </c>
      <c r="T6" s="9" t="s">
        <v>21</v>
      </c>
      <c r="U6" s="8" t="s">
        <v>22</v>
      </c>
      <c r="V6" s="8" t="s">
        <v>23</v>
      </c>
    </row>
    <row r="7" spans="1:22" ht="31.5" customHeight="1" x14ac:dyDescent="0.25">
      <c r="A7" s="10">
        <v>1</v>
      </c>
      <c r="B7" s="10">
        <v>177105</v>
      </c>
      <c r="C7" s="11" t="s">
        <v>24</v>
      </c>
      <c r="D7" s="10" t="s">
        <v>25</v>
      </c>
      <c r="E7" s="10" t="s">
        <v>26</v>
      </c>
      <c r="F7" s="12">
        <v>37334</v>
      </c>
      <c r="G7" s="10" t="s">
        <v>27</v>
      </c>
      <c r="H7" s="10" t="s">
        <v>28</v>
      </c>
      <c r="I7" s="13">
        <f>87+76+70</f>
        <v>233</v>
      </c>
      <c r="J7" s="10">
        <v>300</v>
      </c>
      <c r="K7" s="13">
        <f t="shared" ref="K7:K70" si="0">I7/J7*100</f>
        <v>77.666666666666657</v>
      </c>
      <c r="L7" s="13">
        <v>86</v>
      </c>
      <c r="M7" s="10">
        <v>100</v>
      </c>
      <c r="N7" s="13">
        <f t="shared" ref="N7:N70" si="1">L7/M7*100</f>
        <v>86</v>
      </c>
      <c r="O7" s="10" t="s">
        <v>29</v>
      </c>
      <c r="P7" s="10">
        <v>412</v>
      </c>
      <c r="Q7" s="10">
        <v>720</v>
      </c>
      <c r="R7" s="13">
        <f t="shared" ref="R7:R70" si="2">P7/Q7*100</f>
        <v>57.222222222222221</v>
      </c>
      <c r="S7" s="12">
        <v>44643</v>
      </c>
      <c r="T7" s="13">
        <v>88.48</v>
      </c>
      <c r="U7" s="10">
        <v>4109012173</v>
      </c>
      <c r="V7" s="10" t="s">
        <v>27</v>
      </c>
    </row>
    <row r="8" spans="1:22" ht="31.5" customHeight="1" x14ac:dyDescent="0.25">
      <c r="A8" s="10">
        <v>2</v>
      </c>
      <c r="B8" s="10">
        <v>66972</v>
      </c>
      <c r="C8" s="11" t="s">
        <v>30</v>
      </c>
      <c r="D8" s="10" t="s">
        <v>31</v>
      </c>
      <c r="E8" s="10" t="s">
        <v>26</v>
      </c>
      <c r="F8" s="12">
        <v>37921</v>
      </c>
      <c r="G8" s="10" t="s">
        <v>32</v>
      </c>
      <c r="H8" s="10" t="s">
        <v>28</v>
      </c>
      <c r="I8" s="13">
        <f>96+95+96</f>
        <v>287</v>
      </c>
      <c r="J8" s="10">
        <v>300</v>
      </c>
      <c r="K8" s="13">
        <f t="shared" si="0"/>
        <v>95.666666666666671</v>
      </c>
      <c r="L8" s="13">
        <v>96</v>
      </c>
      <c r="M8" s="10">
        <v>100</v>
      </c>
      <c r="N8" s="13">
        <f t="shared" si="1"/>
        <v>96</v>
      </c>
      <c r="O8" s="10" t="s">
        <v>29</v>
      </c>
      <c r="P8" s="10">
        <v>521</v>
      </c>
      <c r="Q8" s="10">
        <v>720</v>
      </c>
      <c r="R8" s="13">
        <f t="shared" si="2"/>
        <v>72.361111111111114</v>
      </c>
      <c r="S8" s="12">
        <v>44606</v>
      </c>
      <c r="T8" s="13">
        <v>95.61</v>
      </c>
      <c r="U8" s="10">
        <v>4103009026</v>
      </c>
      <c r="V8" s="10" t="s">
        <v>32</v>
      </c>
    </row>
    <row r="9" spans="1:22" ht="31.5" customHeight="1" x14ac:dyDescent="0.25">
      <c r="A9" s="10">
        <v>3</v>
      </c>
      <c r="B9" s="10">
        <v>291699</v>
      </c>
      <c r="C9" s="11" t="s">
        <v>33</v>
      </c>
      <c r="D9" s="10" t="s">
        <v>25</v>
      </c>
      <c r="E9" s="10" t="s">
        <v>26</v>
      </c>
      <c r="F9" s="12">
        <v>38048</v>
      </c>
      <c r="G9" s="10" t="s">
        <v>27</v>
      </c>
      <c r="H9" s="10" t="s">
        <v>28</v>
      </c>
      <c r="I9" s="13">
        <f>89+83+92</f>
        <v>264</v>
      </c>
      <c r="J9" s="10">
        <v>300</v>
      </c>
      <c r="K9" s="13">
        <f t="shared" si="0"/>
        <v>88</v>
      </c>
      <c r="L9" s="13">
        <v>88</v>
      </c>
      <c r="M9" s="10">
        <v>100</v>
      </c>
      <c r="N9" s="13">
        <f t="shared" si="1"/>
        <v>88</v>
      </c>
      <c r="O9" s="10" t="s">
        <v>29</v>
      </c>
      <c r="P9" s="10">
        <v>331</v>
      </c>
      <c r="Q9" s="10">
        <v>720</v>
      </c>
      <c r="R9" s="13">
        <f t="shared" si="2"/>
        <v>45.972222222222221</v>
      </c>
      <c r="S9" s="12">
        <v>44625</v>
      </c>
      <c r="T9" s="13">
        <v>81.02</v>
      </c>
      <c r="U9" s="10">
        <v>4114001364</v>
      </c>
      <c r="V9" s="10" t="s">
        <v>27</v>
      </c>
    </row>
    <row r="10" spans="1:22" ht="31.5" customHeight="1" x14ac:dyDescent="0.25">
      <c r="A10" s="10">
        <v>4</v>
      </c>
      <c r="B10" s="10">
        <v>226865</v>
      </c>
      <c r="C10" s="11" t="s">
        <v>34</v>
      </c>
      <c r="D10" s="10" t="s">
        <v>31</v>
      </c>
      <c r="E10" s="10" t="s">
        <v>26</v>
      </c>
      <c r="F10" s="12">
        <v>37526</v>
      </c>
      <c r="G10" s="10" t="s">
        <v>27</v>
      </c>
      <c r="H10" s="10" t="s">
        <v>28</v>
      </c>
      <c r="I10" s="13">
        <f>77+70+77</f>
        <v>224</v>
      </c>
      <c r="J10" s="10">
        <v>300</v>
      </c>
      <c r="K10" s="13">
        <f t="shared" si="0"/>
        <v>74.666666666666671</v>
      </c>
      <c r="L10" s="13">
        <v>89</v>
      </c>
      <c r="M10" s="10">
        <v>100</v>
      </c>
      <c r="N10" s="13">
        <f t="shared" si="1"/>
        <v>89</v>
      </c>
      <c r="O10" s="10" t="s">
        <v>29</v>
      </c>
      <c r="P10" s="10">
        <v>374</v>
      </c>
      <c r="Q10" s="10">
        <v>720</v>
      </c>
      <c r="R10" s="13">
        <f t="shared" si="2"/>
        <v>51.94444444444445</v>
      </c>
      <c r="S10" s="12">
        <v>44624</v>
      </c>
      <c r="T10" s="13">
        <v>85.22</v>
      </c>
      <c r="U10" s="10">
        <v>4114007434</v>
      </c>
      <c r="V10" s="10" t="s">
        <v>27</v>
      </c>
    </row>
    <row r="11" spans="1:22" ht="31.5" customHeight="1" x14ac:dyDescent="0.25">
      <c r="A11" s="10">
        <v>5</v>
      </c>
      <c r="B11" s="10">
        <v>453416</v>
      </c>
      <c r="C11" s="11" t="s">
        <v>35</v>
      </c>
      <c r="D11" s="10" t="s">
        <v>31</v>
      </c>
      <c r="E11" s="10" t="s">
        <v>26</v>
      </c>
      <c r="F11" s="12">
        <v>38148</v>
      </c>
      <c r="G11" s="10" t="s">
        <v>32</v>
      </c>
      <c r="H11" s="10" t="s">
        <v>28</v>
      </c>
      <c r="I11" s="13">
        <f>70+61+78</f>
        <v>209</v>
      </c>
      <c r="J11" s="10">
        <v>300</v>
      </c>
      <c r="K11" s="13">
        <f t="shared" si="0"/>
        <v>69.666666666666671</v>
      </c>
      <c r="L11" s="13">
        <v>58</v>
      </c>
      <c r="M11" s="10">
        <v>100</v>
      </c>
      <c r="N11" s="13">
        <f t="shared" si="1"/>
        <v>57.999999999999993</v>
      </c>
      <c r="O11" s="10" t="s">
        <v>29</v>
      </c>
      <c r="P11" s="10">
        <v>244</v>
      </c>
      <c r="Q11" s="10">
        <v>720</v>
      </c>
      <c r="R11" s="13">
        <f t="shared" si="2"/>
        <v>33.888888888888893</v>
      </c>
      <c r="S11" s="12">
        <v>44592</v>
      </c>
      <c r="T11" s="13">
        <v>70.52</v>
      </c>
      <c r="U11" s="10">
        <v>4109023282</v>
      </c>
      <c r="V11" s="10" t="s">
        <v>32</v>
      </c>
    </row>
    <row r="12" spans="1:22" ht="31.5" customHeight="1" x14ac:dyDescent="0.25">
      <c r="A12" s="10">
        <v>6</v>
      </c>
      <c r="B12" s="10">
        <v>62355</v>
      </c>
      <c r="C12" s="11" t="s">
        <v>36</v>
      </c>
      <c r="D12" s="10" t="s">
        <v>25</v>
      </c>
      <c r="E12" s="10" t="s">
        <v>26</v>
      </c>
      <c r="F12" s="12">
        <v>37764</v>
      </c>
      <c r="G12" s="10" t="s">
        <v>32</v>
      </c>
      <c r="H12" s="10" t="s">
        <v>28</v>
      </c>
      <c r="I12" s="13">
        <f>81+80+83</f>
        <v>244</v>
      </c>
      <c r="J12" s="10">
        <v>300</v>
      </c>
      <c r="K12" s="13">
        <f t="shared" si="0"/>
        <v>81.333333333333329</v>
      </c>
      <c r="L12" s="13">
        <v>82</v>
      </c>
      <c r="M12" s="10">
        <v>100</v>
      </c>
      <c r="N12" s="13">
        <f t="shared" si="1"/>
        <v>82</v>
      </c>
      <c r="O12" s="10" t="s">
        <v>29</v>
      </c>
      <c r="P12" s="10">
        <v>527</v>
      </c>
      <c r="Q12" s="10">
        <v>720</v>
      </c>
      <c r="R12" s="13">
        <f t="shared" si="2"/>
        <v>73.194444444444443</v>
      </c>
      <c r="S12" s="12">
        <v>44608</v>
      </c>
      <c r="T12" s="13">
        <v>95.91</v>
      </c>
      <c r="U12" s="10">
        <v>4118004094</v>
      </c>
      <c r="V12" s="10" t="s">
        <v>32</v>
      </c>
    </row>
    <row r="13" spans="1:22" ht="31.5" customHeight="1" x14ac:dyDescent="0.25">
      <c r="A13" s="10">
        <v>7</v>
      </c>
      <c r="B13" s="10">
        <v>208316</v>
      </c>
      <c r="C13" s="11" t="s">
        <v>37</v>
      </c>
      <c r="D13" s="10" t="s">
        <v>31</v>
      </c>
      <c r="E13" s="10" t="s">
        <v>26</v>
      </c>
      <c r="F13" s="12">
        <v>37701</v>
      </c>
      <c r="G13" s="10" t="s">
        <v>27</v>
      </c>
      <c r="H13" s="10" t="s">
        <v>28</v>
      </c>
      <c r="I13" s="13">
        <f>77+90+92</f>
        <v>259</v>
      </c>
      <c r="J13" s="10">
        <v>300</v>
      </c>
      <c r="K13" s="13">
        <f t="shared" si="0"/>
        <v>86.333333333333329</v>
      </c>
      <c r="L13" s="13">
        <v>93</v>
      </c>
      <c r="M13" s="10">
        <v>100</v>
      </c>
      <c r="N13" s="13">
        <f t="shared" si="1"/>
        <v>93</v>
      </c>
      <c r="O13" s="10" t="s">
        <v>29</v>
      </c>
      <c r="P13" s="10">
        <v>388</v>
      </c>
      <c r="Q13" s="10">
        <v>720</v>
      </c>
      <c r="R13" s="13">
        <f t="shared" si="2"/>
        <v>53.888888888888886</v>
      </c>
      <c r="S13" s="10" t="s">
        <v>38</v>
      </c>
      <c r="T13" s="13">
        <v>86.47</v>
      </c>
      <c r="U13" s="10">
        <v>4114008007</v>
      </c>
      <c r="V13" s="10" t="s">
        <v>27</v>
      </c>
    </row>
    <row r="14" spans="1:22" ht="31.5" customHeight="1" x14ac:dyDescent="0.25">
      <c r="A14" s="10">
        <v>8</v>
      </c>
      <c r="B14" s="10">
        <v>192273</v>
      </c>
      <c r="C14" s="11" t="s">
        <v>39</v>
      </c>
      <c r="D14" s="10" t="s">
        <v>25</v>
      </c>
      <c r="E14" s="10" t="s">
        <v>26</v>
      </c>
      <c r="F14" s="12">
        <v>37746</v>
      </c>
      <c r="G14" s="10" t="s">
        <v>27</v>
      </c>
      <c r="H14" s="10" t="s">
        <v>28</v>
      </c>
      <c r="I14" s="13">
        <f>91+95+95</f>
        <v>281</v>
      </c>
      <c r="J14" s="10">
        <v>300</v>
      </c>
      <c r="K14" s="13">
        <f t="shared" si="0"/>
        <v>93.666666666666671</v>
      </c>
      <c r="L14" s="13">
        <v>91</v>
      </c>
      <c r="M14" s="10">
        <v>100</v>
      </c>
      <c r="N14" s="13">
        <f t="shared" si="1"/>
        <v>91</v>
      </c>
      <c r="O14" s="10" t="s">
        <v>29</v>
      </c>
      <c r="P14" s="10">
        <v>400</v>
      </c>
      <c r="Q14" s="10">
        <v>720</v>
      </c>
      <c r="R14" s="13">
        <f t="shared" si="2"/>
        <v>55.555555555555557</v>
      </c>
      <c r="S14" s="12">
        <v>44624</v>
      </c>
      <c r="T14" s="13">
        <v>87.49</v>
      </c>
      <c r="U14" s="10">
        <v>4112011309</v>
      </c>
      <c r="V14" s="10" t="s">
        <v>27</v>
      </c>
    </row>
    <row r="15" spans="1:22" ht="31.5" customHeight="1" x14ac:dyDescent="0.25">
      <c r="A15" s="10">
        <v>9</v>
      </c>
      <c r="B15" s="10">
        <v>464253</v>
      </c>
      <c r="C15" s="11" t="s">
        <v>40</v>
      </c>
      <c r="D15" s="10" t="s">
        <v>31</v>
      </c>
      <c r="E15" s="10" t="s">
        <v>26</v>
      </c>
      <c r="F15" s="12">
        <v>37210</v>
      </c>
      <c r="G15" s="10" t="s">
        <v>32</v>
      </c>
      <c r="H15" s="10" t="s">
        <v>28</v>
      </c>
      <c r="I15" s="13">
        <f>73+74+72</f>
        <v>219</v>
      </c>
      <c r="J15" s="10">
        <v>300</v>
      </c>
      <c r="K15" s="13">
        <f t="shared" si="0"/>
        <v>73</v>
      </c>
      <c r="L15" s="13">
        <v>72</v>
      </c>
      <c r="M15" s="10">
        <v>100</v>
      </c>
      <c r="N15" s="13">
        <f t="shared" si="1"/>
        <v>72</v>
      </c>
      <c r="O15" s="10" t="s">
        <v>29</v>
      </c>
      <c r="P15" s="10">
        <v>239</v>
      </c>
      <c r="Q15" s="10">
        <v>720</v>
      </c>
      <c r="R15" s="13">
        <f t="shared" si="2"/>
        <v>33.194444444444443</v>
      </c>
      <c r="S15" s="12">
        <v>44590</v>
      </c>
      <c r="T15" s="13">
        <v>69.8</v>
      </c>
      <c r="U15" s="10">
        <v>4110005126</v>
      </c>
      <c r="V15" s="10" t="s">
        <v>32</v>
      </c>
    </row>
    <row r="16" spans="1:22" ht="31.5" customHeight="1" x14ac:dyDescent="0.25">
      <c r="A16" s="10">
        <v>10</v>
      </c>
      <c r="B16" s="10">
        <v>250890</v>
      </c>
      <c r="C16" s="11" t="s">
        <v>41</v>
      </c>
      <c r="D16" s="10" t="s">
        <v>25</v>
      </c>
      <c r="E16" s="10" t="s">
        <v>26</v>
      </c>
      <c r="F16" s="12">
        <v>37790</v>
      </c>
      <c r="G16" s="10" t="s">
        <v>27</v>
      </c>
      <c r="H16" s="10" t="s">
        <v>28</v>
      </c>
      <c r="I16" s="13">
        <f>85+82+79</f>
        <v>246</v>
      </c>
      <c r="J16" s="10">
        <v>300</v>
      </c>
      <c r="K16" s="13">
        <f t="shared" si="0"/>
        <v>82</v>
      </c>
      <c r="L16" s="13">
        <v>91</v>
      </c>
      <c r="M16" s="10">
        <v>100</v>
      </c>
      <c r="N16" s="13">
        <f t="shared" si="1"/>
        <v>91</v>
      </c>
      <c r="O16" s="10" t="s">
        <v>29</v>
      </c>
      <c r="P16" s="10">
        <v>358</v>
      </c>
      <c r="Q16" s="10">
        <v>720</v>
      </c>
      <c r="R16" s="13">
        <f t="shared" si="2"/>
        <v>49.722222222222221</v>
      </c>
      <c r="S16" s="12">
        <v>44655</v>
      </c>
      <c r="T16" s="13">
        <v>83.72</v>
      </c>
      <c r="U16" s="10">
        <v>4114001767</v>
      </c>
      <c r="V16" s="10" t="s">
        <v>27</v>
      </c>
    </row>
    <row r="17" spans="1:22" ht="31.5" customHeight="1" x14ac:dyDescent="0.25">
      <c r="A17" s="10">
        <v>11</v>
      </c>
      <c r="B17" s="10">
        <v>89780</v>
      </c>
      <c r="C17" s="11" t="s">
        <v>42</v>
      </c>
      <c r="D17" s="10" t="s">
        <v>31</v>
      </c>
      <c r="E17" s="10" t="s">
        <v>26</v>
      </c>
      <c r="F17" s="12">
        <v>37115</v>
      </c>
      <c r="G17" s="10" t="s">
        <v>32</v>
      </c>
      <c r="H17" s="10" t="s">
        <v>28</v>
      </c>
      <c r="I17" s="13">
        <f>75+70+80</f>
        <v>225</v>
      </c>
      <c r="J17" s="10">
        <v>300</v>
      </c>
      <c r="K17" s="13">
        <f t="shared" si="0"/>
        <v>75</v>
      </c>
      <c r="L17" s="13">
        <v>63</v>
      </c>
      <c r="M17" s="10">
        <v>100</v>
      </c>
      <c r="N17" s="13">
        <f t="shared" si="1"/>
        <v>63</v>
      </c>
      <c r="O17" s="10" t="s">
        <v>29</v>
      </c>
      <c r="P17" s="10">
        <v>494</v>
      </c>
      <c r="Q17" s="10">
        <v>720</v>
      </c>
      <c r="R17" s="13">
        <f t="shared" si="2"/>
        <v>68.611111111111114</v>
      </c>
      <c r="S17" s="12">
        <v>44606</v>
      </c>
      <c r="T17" s="13">
        <v>94.15</v>
      </c>
      <c r="U17" s="10">
        <v>4114002464</v>
      </c>
      <c r="V17" s="10" t="s">
        <v>32</v>
      </c>
    </row>
    <row r="18" spans="1:22" ht="31.5" customHeight="1" x14ac:dyDescent="0.25">
      <c r="A18" s="10">
        <v>12</v>
      </c>
      <c r="B18" s="10">
        <v>274285</v>
      </c>
      <c r="C18" s="11" t="s">
        <v>43</v>
      </c>
      <c r="D18" s="10" t="s">
        <v>31</v>
      </c>
      <c r="E18" s="10" t="s">
        <v>26</v>
      </c>
      <c r="F18" s="12">
        <v>37446</v>
      </c>
      <c r="G18" s="10" t="s">
        <v>32</v>
      </c>
      <c r="H18" s="10" t="s">
        <v>44</v>
      </c>
      <c r="I18" s="13">
        <f>62+77+77</f>
        <v>216</v>
      </c>
      <c r="J18" s="10">
        <v>300</v>
      </c>
      <c r="K18" s="13">
        <f t="shared" si="0"/>
        <v>72</v>
      </c>
      <c r="L18" s="13">
        <v>87</v>
      </c>
      <c r="M18" s="10">
        <v>100</v>
      </c>
      <c r="N18" s="13">
        <f t="shared" si="1"/>
        <v>87</v>
      </c>
      <c r="O18" s="10" t="s">
        <v>29</v>
      </c>
      <c r="P18" s="10">
        <v>342</v>
      </c>
      <c r="Q18" s="10">
        <v>720</v>
      </c>
      <c r="R18" s="13">
        <f t="shared" si="2"/>
        <v>47.5</v>
      </c>
      <c r="S18" s="12">
        <v>44613</v>
      </c>
      <c r="T18" s="13">
        <v>82.14</v>
      </c>
      <c r="U18" s="10">
        <v>4109016337</v>
      </c>
      <c r="V18" s="10" t="s">
        <v>32</v>
      </c>
    </row>
    <row r="19" spans="1:22" ht="31.5" customHeight="1" x14ac:dyDescent="0.25">
      <c r="A19" s="10">
        <v>13</v>
      </c>
      <c r="B19" s="10">
        <v>721094</v>
      </c>
      <c r="C19" s="11" t="s">
        <v>45</v>
      </c>
      <c r="D19" s="10" t="s">
        <v>31</v>
      </c>
      <c r="E19" s="10" t="s">
        <v>26</v>
      </c>
      <c r="F19" s="12">
        <v>37552</v>
      </c>
      <c r="G19" s="10" t="s">
        <v>27</v>
      </c>
      <c r="H19" s="10" t="s">
        <v>28</v>
      </c>
      <c r="I19" s="13">
        <f>55+61+63</f>
        <v>179</v>
      </c>
      <c r="J19" s="10">
        <v>300</v>
      </c>
      <c r="K19" s="13">
        <f t="shared" si="0"/>
        <v>59.666666666666671</v>
      </c>
      <c r="L19" s="13">
        <v>70</v>
      </c>
      <c r="M19" s="10">
        <v>100</v>
      </c>
      <c r="N19" s="13">
        <f t="shared" si="1"/>
        <v>70</v>
      </c>
      <c r="O19" s="10" t="s">
        <v>29</v>
      </c>
      <c r="P19" s="10">
        <v>150</v>
      </c>
      <c r="Q19" s="10">
        <v>720</v>
      </c>
      <c r="R19" s="13">
        <f t="shared" si="2"/>
        <v>20.833333333333336</v>
      </c>
      <c r="S19" s="12">
        <v>44655</v>
      </c>
      <c r="T19" s="13">
        <v>53.25</v>
      </c>
      <c r="U19" s="10">
        <v>4109013265</v>
      </c>
      <c r="V19" s="10" t="s">
        <v>27</v>
      </c>
    </row>
    <row r="20" spans="1:22" ht="31.5" customHeight="1" x14ac:dyDescent="0.25">
      <c r="A20" s="10">
        <v>14</v>
      </c>
      <c r="B20" s="10">
        <v>569097</v>
      </c>
      <c r="C20" s="11" t="s">
        <v>46</v>
      </c>
      <c r="D20" s="10" t="s">
        <v>31</v>
      </c>
      <c r="E20" s="10" t="s">
        <v>26</v>
      </c>
      <c r="F20" s="12">
        <v>37899</v>
      </c>
      <c r="G20" s="10" t="s">
        <v>27</v>
      </c>
      <c r="H20" s="10" t="s">
        <v>28</v>
      </c>
      <c r="I20" s="13">
        <f>58+65+77</f>
        <v>200</v>
      </c>
      <c r="J20" s="10">
        <v>300</v>
      </c>
      <c r="K20" s="13">
        <f t="shared" si="0"/>
        <v>66.666666666666657</v>
      </c>
      <c r="L20" s="13">
        <v>86</v>
      </c>
      <c r="M20" s="10">
        <v>100</v>
      </c>
      <c r="N20" s="13">
        <f t="shared" si="1"/>
        <v>86</v>
      </c>
      <c r="O20" s="10" t="s">
        <v>29</v>
      </c>
      <c r="P20" s="10">
        <v>196</v>
      </c>
      <c r="Q20" s="10">
        <v>720</v>
      </c>
      <c r="R20" s="13">
        <f t="shared" si="2"/>
        <v>27.222222222222221</v>
      </c>
      <c r="S20" s="12">
        <v>44655</v>
      </c>
      <c r="T20" s="13">
        <v>62.99</v>
      </c>
      <c r="U20" s="10">
        <v>4109004089</v>
      </c>
      <c r="V20" s="10" t="s">
        <v>27</v>
      </c>
    </row>
    <row r="21" spans="1:22" ht="31.5" customHeight="1" x14ac:dyDescent="0.25">
      <c r="A21" s="10">
        <v>15</v>
      </c>
      <c r="B21" s="10">
        <v>408190</v>
      </c>
      <c r="C21" s="11" t="s">
        <v>47</v>
      </c>
      <c r="D21" s="10" t="s">
        <v>31</v>
      </c>
      <c r="E21" s="10" t="s">
        <v>26</v>
      </c>
      <c r="F21" s="12">
        <v>37259</v>
      </c>
      <c r="G21" s="10" t="s">
        <v>27</v>
      </c>
      <c r="H21" s="10" t="s">
        <v>48</v>
      </c>
      <c r="I21" s="13">
        <f>69+89+93</f>
        <v>251</v>
      </c>
      <c r="J21" s="10">
        <v>300</v>
      </c>
      <c r="K21" s="13">
        <f t="shared" si="0"/>
        <v>83.666666666666671</v>
      </c>
      <c r="L21" s="13">
        <v>70</v>
      </c>
      <c r="M21" s="10">
        <v>100</v>
      </c>
      <c r="N21" s="13">
        <f t="shared" si="1"/>
        <v>70</v>
      </c>
      <c r="O21" s="10" t="s">
        <v>29</v>
      </c>
      <c r="P21" s="10">
        <v>266</v>
      </c>
      <c r="Q21" s="10">
        <v>720</v>
      </c>
      <c r="R21" s="13">
        <f t="shared" si="2"/>
        <v>36.944444444444443</v>
      </c>
      <c r="S21" s="12">
        <v>44652</v>
      </c>
      <c r="T21" s="13">
        <v>73.45</v>
      </c>
      <c r="U21" s="10">
        <v>4111002098</v>
      </c>
      <c r="V21" s="10" t="s">
        <v>27</v>
      </c>
    </row>
    <row r="22" spans="1:22" ht="31.5" customHeight="1" x14ac:dyDescent="0.25">
      <c r="A22" s="10">
        <v>16</v>
      </c>
      <c r="B22" s="10">
        <v>188766</v>
      </c>
      <c r="C22" s="11" t="s">
        <v>49</v>
      </c>
      <c r="D22" s="10" t="s">
        <v>31</v>
      </c>
      <c r="E22" s="10" t="s">
        <v>26</v>
      </c>
      <c r="F22" s="12">
        <v>37275</v>
      </c>
      <c r="G22" s="10" t="s">
        <v>32</v>
      </c>
      <c r="H22" s="10" t="s">
        <v>44</v>
      </c>
      <c r="I22" s="13">
        <f>77+83+86</f>
        <v>246</v>
      </c>
      <c r="J22" s="10">
        <v>300</v>
      </c>
      <c r="K22" s="13">
        <f t="shared" si="0"/>
        <v>82</v>
      </c>
      <c r="L22" s="13">
        <v>81</v>
      </c>
      <c r="M22" s="10">
        <v>100</v>
      </c>
      <c r="N22" s="13">
        <f t="shared" si="1"/>
        <v>81</v>
      </c>
      <c r="O22" s="10" t="s">
        <v>29</v>
      </c>
      <c r="P22" s="10">
        <v>403</v>
      </c>
      <c r="Q22" s="10">
        <v>720</v>
      </c>
      <c r="R22" s="13">
        <f t="shared" si="2"/>
        <v>55.972222222222221</v>
      </c>
      <c r="S22" s="12">
        <v>44613</v>
      </c>
      <c r="T22" s="13">
        <v>87.74</v>
      </c>
      <c r="U22" s="10">
        <v>4115003218</v>
      </c>
      <c r="V22" s="10" t="s">
        <v>32</v>
      </c>
    </row>
    <row r="23" spans="1:22" ht="31.5" customHeight="1" x14ac:dyDescent="0.25">
      <c r="A23" s="10">
        <v>17</v>
      </c>
      <c r="B23" s="10">
        <v>61113</v>
      </c>
      <c r="C23" s="11" t="s">
        <v>50</v>
      </c>
      <c r="D23" s="10" t="s">
        <v>51</v>
      </c>
      <c r="E23" s="10" t="s">
        <v>26</v>
      </c>
      <c r="F23" s="12">
        <v>36777</v>
      </c>
      <c r="G23" s="10" t="s">
        <v>32</v>
      </c>
      <c r="H23" s="10" t="s">
        <v>28</v>
      </c>
      <c r="I23" s="13">
        <f>181+160+155</f>
        <v>496</v>
      </c>
      <c r="J23" s="10">
        <v>600</v>
      </c>
      <c r="K23" s="13">
        <f t="shared" si="0"/>
        <v>82.666666666666671</v>
      </c>
      <c r="L23" s="13">
        <v>183</v>
      </c>
      <c r="M23" s="10">
        <v>200</v>
      </c>
      <c r="N23" s="13">
        <f t="shared" si="1"/>
        <v>91.5</v>
      </c>
      <c r="O23" s="10" t="s">
        <v>29</v>
      </c>
      <c r="P23" s="10">
        <v>529</v>
      </c>
      <c r="Q23" s="10">
        <v>720</v>
      </c>
      <c r="R23" s="13">
        <f t="shared" si="2"/>
        <v>73.472222222222229</v>
      </c>
      <c r="S23" s="12">
        <v>44608</v>
      </c>
      <c r="T23" s="13">
        <v>96.01</v>
      </c>
      <c r="U23" s="10">
        <v>4108003244</v>
      </c>
      <c r="V23" s="10" t="s">
        <v>32</v>
      </c>
    </row>
    <row r="24" spans="1:22" ht="31.5" customHeight="1" x14ac:dyDescent="0.25">
      <c r="A24" s="10">
        <v>18</v>
      </c>
      <c r="B24" s="10">
        <v>457450</v>
      </c>
      <c r="C24" s="11" t="s">
        <v>52</v>
      </c>
      <c r="D24" s="10" t="s">
        <v>31</v>
      </c>
      <c r="E24" s="10" t="s">
        <v>26</v>
      </c>
      <c r="F24" s="12">
        <v>37979</v>
      </c>
      <c r="G24" s="10" t="s">
        <v>32</v>
      </c>
      <c r="H24" s="10" t="s">
        <v>28</v>
      </c>
      <c r="I24" s="13">
        <f>94.96+96.67+96.1</f>
        <v>287.73</v>
      </c>
      <c r="J24" s="10">
        <v>300</v>
      </c>
      <c r="K24" s="13">
        <f t="shared" si="0"/>
        <v>95.910000000000011</v>
      </c>
      <c r="L24" s="13">
        <v>93.56</v>
      </c>
      <c r="M24" s="10">
        <v>100</v>
      </c>
      <c r="N24" s="13">
        <f t="shared" si="1"/>
        <v>93.56</v>
      </c>
      <c r="O24" s="10" t="s">
        <v>29</v>
      </c>
      <c r="P24" s="10">
        <v>242</v>
      </c>
      <c r="Q24" s="10">
        <v>720</v>
      </c>
      <c r="R24" s="13">
        <f t="shared" si="2"/>
        <v>33.611111111111114</v>
      </c>
      <c r="S24" s="12">
        <v>44595</v>
      </c>
      <c r="T24" s="13">
        <v>70.239999999999995</v>
      </c>
      <c r="U24" s="10">
        <v>4102001131</v>
      </c>
      <c r="V24" s="10" t="s">
        <v>32</v>
      </c>
    </row>
    <row r="25" spans="1:22" ht="31.5" customHeight="1" x14ac:dyDescent="0.25">
      <c r="A25" s="10">
        <v>19</v>
      </c>
      <c r="B25" s="10">
        <v>173684</v>
      </c>
      <c r="C25" s="11" t="s">
        <v>53</v>
      </c>
      <c r="D25" s="10" t="s">
        <v>25</v>
      </c>
      <c r="E25" s="10" t="s">
        <v>26</v>
      </c>
      <c r="F25" s="12">
        <v>36783</v>
      </c>
      <c r="G25" s="10" t="s">
        <v>27</v>
      </c>
      <c r="H25" s="10" t="s">
        <v>28</v>
      </c>
      <c r="I25" s="13">
        <f>186+172+173</f>
        <v>531</v>
      </c>
      <c r="J25" s="10">
        <v>600</v>
      </c>
      <c r="K25" s="13">
        <f t="shared" si="0"/>
        <v>88.5</v>
      </c>
      <c r="L25" s="13">
        <v>184</v>
      </c>
      <c r="M25" s="10">
        <v>200</v>
      </c>
      <c r="N25" s="13">
        <f t="shared" si="1"/>
        <v>92</v>
      </c>
      <c r="O25" s="10" t="s">
        <v>29</v>
      </c>
      <c r="P25" s="10">
        <v>415</v>
      </c>
      <c r="Q25" s="10">
        <v>720</v>
      </c>
      <c r="R25" s="13">
        <f t="shared" si="2"/>
        <v>57.638888888888886</v>
      </c>
      <c r="S25" s="12">
        <v>44652</v>
      </c>
      <c r="T25" s="13">
        <v>88.72</v>
      </c>
      <c r="U25" s="10">
        <v>4108003148</v>
      </c>
      <c r="V25" s="10" t="s">
        <v>27</v>
      </c>
    </row>
    <row r="26" spans="1:22" ht="31.5" customHeight="1" x14ac:dyDescent="0.25">
      <c r="A26" s="10">
        <v>20</v>
      </c>
      <c r="B26" s="10">
        <v>458029</v>
      </c>
      <c r="C26" s="11" t="s">
        <v>54</v>
      </c>
      <c r="D26" s="10" t="s">
        <v>31</v>
      </c>
      <c r="E26" s="10" t="s">
        <v>26</v>
      </c>
      <c r="F26" s="12">
        <v>37365</v>
      </c>
      <c r="G26" s="10" t="s">
        <v>27</v>
      </c>
      <c r="H26" s="10" t="s">
        <v>55</v>
      </c>
      <c r="I26" s="13">
        <f>83+90+95</f>
        <v>268</v>
      </c>
      <c r="J26" s="10">
        <v>300</v>
      </c>
      <c r="K26" s="13">
        <f t="shared" si="0"/>
        <v>89.333333333333329</v>
      </c>
      <c r="L26" s="13">
        <v>94</v>
      </c>
      <c r="M26" s="10">
        <v>100</v>
      </c>
      <c r="N26" s="13">
        <f t="shared" si="1"/>
        <v>94</v>
      </c>
      <c r="O26" s="10" t="s">
        <v>29</v>
      </c>
      <c r="P26" s="10">
        <v>242</v>
      </c>
      <c r="Q26" s="10">
        <v>720</v>
      </c>
      <c r="R26" s="13">
        <f t="shared" si="2"/>
        <v>33.611111111111114</v>
      </c>
      <c r="S26" s="12">
        <v>44624</v>
      </c>
      <c r="T26" s="13">
        <v>70.239999999999995</v>
      </c>
      <c r="U26" s="10">
        <v>2702121227</v>
      </c>
      <c r="V26" s="10" t="s">
        <v>27</v>
      </c>
    </row>
    <row r="27" spans="1:22" ht="31.5" customHeight="1" x14ac:dyDescent="0.25">
      <c r="A27" s="10">
        <v>21</v>
      </c>
      <c r="B27" s="10">
        <v>292212</v>
      </c>
      <c r="C27" s="11" t="s">
        <v>56</v>
      </c>
      <c r="D27" s="10" t="s">
        <v>31</v>
      </c>
      <c r="E27" s="10" t="s">
        <v>26</v>
      </c>
      <c r="F27" s="12">
        <v>38129</v>
      </c>
      <c r="G27" s="10" t="s">
        <v>27</v>
      </c>
      <c r="H27" s="10" t="s">
        <v>28</v>
      </c>
      <c r="I27" s="13">
        <f>94+84+95</f>
        <v>273</v>
      </c>
      <c r="J27" s="10">
        <v>300</v>
      </c>
      <c r="K27" s="13">
        <f t="shared" si="0"/>
        <v>91</v>
      </c>
      <c r="L27" s="13">
        <v>94</v>
      </c>
      <c r="M27" s="10">
        <v>100</v>
      </c>
      <c r="N27" s="13">
        <f t="shared" si="1"/>
        <v>94</v>
      </c>
      <c r="O27" s="10" t="s">
        <v>29</v>
      </c>
      <c r="P27" s="10">
        <v>331</v>
      </c>
      <c r="Q27" s="10">
        <v>720</v>
      </c>
      <c r="R27" s="13">
        <f t="shared" si="2"/>
        <v>45.972222222222221</v>
      </c>
      <c r="S27" s="12">
        <v>44627</v>
      </c>
      <c r="T27" s="13">
        <v>81.02</v>
      </c>
      <c r="U27" s="10">
        <v>4114001570</v>
      </c>
      <c r="V27" s="10" t="s">
        <v>27</v>
      </c>
    </row>
    <row r="28" spans="1:22" ht="31.5" customHeight="1" x14ac:dyDescent="0.25">
      <c r="A28" s="10">
        <v>22</v>
      </c>
      <c r="B28" s="10">
        <v>60479</v>
      </c>
      <c r="C28" s="11" t="s">
        <v>57</v>
      </c>
      <c r="D28" s="10" t="s">
        <v>31</v>
      </c>
      <c r="E28" s="10" t="s">
        <v>26</v>
      </c>
      <c r="F28" s="12">
        <v>37858</v>
      </c>
      <c r="G28" s="10" t="s">
        <v>32</v>
      </c>
      <c r="H28" s="10" t="s">
        <v>28</v>
      </c>
      <c r="I28" s="13">
        <f>91+91+95</f>
        <v>277</v>
      </c>
      <c r="J28" s="10">
        <v>300</v>
      </c>
      <c r="K28" s="13">
        <f t="shared" si="0"/>
        <v>92.333333333333329</v>
      </c>
      <c r="L28" s="13">
        <v>94</v>
      </c>
      <c r="M28" s="10">
        <v>100</v>
      </c>
      <c r="N28" s="13">
        <f t="shared" si="1"/>
        <v>94</v>
      </c>
      <c r="O28" s="10" t="s">
        <v>29</v>
      </c>
      <c r="P28" s="10">
        <v>530</v>
      </c>
      <c r="Q28" s="10">
        <v>720</v>
      </c>
      <c r="R28" s="13">
        <f t="shared" si="2"/>
        <v>73.611111111111114</v>
      </c>
      <c r="S28" s="12">
        <v>44606</v>
      </c>
      <c r="T28" s="13">
        <v>96.05</v>
      </c>
      <c r="U28" s="10">
        <v>4112007453</v>
      </c>
      <c r="V28" s="10" t="s">
        <v>32</v>
      </c>
    </row>
    <row r="29" spans="1:22" ht="31.5" customHeight="1" x14ac:dyDescent="0.25">
      <c r="A29" s="10">
        <v>23</v>
      </c>
      <c r="B29" s="10">
        <v>67853</v>
      </c>
      <c r="C29" s="11" t="s">
        <v>58</v>
      </c>
      <c r="D29" s="10" t="s">
        <v>25</v>
      </c>
      <c r="E29" s="10" t="s">
        <v>26</v>
      </c>
      <c r="F29" s="12">
        <v>36989</v>
      </c>
      <c r="G29" s="10" t="s">
        <v>32</v>
      </c>
      <c r="H29" s="10" t="s">
        <v>28</v>
      </c>
      <c r="I29" s="13">
        <f>79+80+75</f>
        <v>234</v>
      </c>
      <c r="J29" s="10">
        <v>300</v>
      </c>
      <c r="K29" s="13">
        <f t="shared" si="0"/>
        <v>78</v>
      </c>
      <c r="L29" s="13">
        <v>94</v>
      </c>
      <c r="M29" s="10">
        <v>100</v>
      </c>
      <c r="N29" s="13">
        <f t="shared" si="1"/>
        <v>94</v>
      </c>
      <c r="O29" s="10" t="s">
        <v>29</v>
      </c>
      <c r="P29" s="10">
        <v>520</v>
      </c>
      <c r="Q29" s="10">
        <v>720</v>
      </c>
      <c r="R29" s="13">
        <f t="shared" si="2"/>
        <v>72.222222222222214</v>
      </c>
      <c r="S29" s="12">
        <v>44613</v>
      </c>
      <c r="T29" s="13">
        <v>95.56</v>
      </c>
      <c r="U29" s="10">
        <v>3701007168</v>
      </c>
      <c r="V29" s="10" t="s">
        <v>32</v>
      </c>
    </row>
    <row r="30" spans="1:22" ht="31.5" customHeight="1" x14ac:dyDescent="0.25">
      <c r="A30" s="10">
        <v>24</v>
      </c>
      <c r="B30" s="10">
        <v>186024</v>
      </c>
      <c r="C30" s="11" t="s">
        <v>59</v>
      </c>
      <c r="D30" s="10" t="s">
        <v>31</v>
      </c>
      <c r="E30" s="10" t="s">
        <v>26</v>
      </c>
      <c r="F30" s="12">
        <v>38033</v>
      </c>
      <c r="G30" s="10" t="s">
        <v>27</v>
      </c>
      <c r="H30" s="10" t="s">
        <v>48</v>
      </c>
      <c r="I30" s="13">
        <f>93.31+92.74+88.17</f>
        <v>274.22000000000003</v>
      </c>
      <c r="J30" s="10">
        <v>300</v>
      </c>
      <c r="K30" s="13">
        <f t="shared" si="0"/>
        <v>91.40666666666668</v>
      </c>
      <c r="L30" s="13">
        <v>93.73</v>
      </c>
      <c r="M30" s="10">
        <v>100</v>
      </c>
      <c r="N30" s="13">
        <f t="shared" si="1"/>
        <v>93.73</v>
      </c>
      <c r="O30" s="10" t="s">
        <v>29</v>
      </c>
      <c r="P30" s="10">
        <v>405</v>
      </c>
      <c r="Q30" s="10">
        <v>720</v>
      </c>
      <c r="R30" s="13">
        <f t="shared" si="2"/>
        <v>56.25</v>
      </c>
      <c r="S30" s="12">
        <v>44624</v>
      </c>
      <c r="T30" s="13">
        <v>87.91</v>
      </c>
      <c r="U30" s="10">
        <v>4114001888</v>
      </c>
      <c r="V30" s="10" t="s">
        <v>27</v>
      </c>
    </row>
    <row r="31" spans="1:22" ht="31.5" customHeight="1" x14ac:dyDescent="0.25">
      <c r="A31" s="10">
        <v>25</v>
      </c>
      <c r="B31" s="10">
        <v>64288</v>
      </c>
      <c r="C31" s="11" t="s">
        <v>60</v>
      </c>
      <c r="D31" s="10" t="s">
        <v>25</v>
      </c>
      <c r="E31" s="10" t="s">
        <v>26</v>
      </c>
      <c r="F31" s="12">
        <v>37620</v>
      </c>
      <c r="G31" s="10" t="s">
        <v>32</v>
      </c>
      <c r="H31" s="10" t="s">
        <v>28</v>
      </c>
      <c r="I31" s="13">
        <f>83+95+86</f>
        <v>264</v>
      </c>
      <c r="J31" s="10">
        <v>300</v>
      </c>
      <c r="K31" s="13">
        <f t="shared" si="0"/>
        <v>88</v>
      </c>
      <c r="L31" s="13">
        <v>96</v>
      </c>
      <c r="M31" s="10">
        <v>100</v>
      </c>
      <c r="N31" s="13">
        <f t="shared" si="1"/>
        <v>96</v>
      </c>
      <c r="O31" s="10" t="s">
        <v>29</v>
      </c>
      <c r="P31" s="10">
        <v>525</v>
      </c>
      <c r="Q31" s="10">
        <v>720</v>
      </c>
      <c r="R31" s="13">
        <f t="shared" si="2"/>
        <v>72.916666666666657</v>
      </c>
      <c r="S31" s="12">
        <v>44606</v>
      </c>
      <c r="T31" s="13">
        <v>95.81</v>
      </c>
      <c r="U31" s="10">
        <v>4101004061</v>
      </c>
      <c r="V31" s="10" t="s">
        <v>32</v>
      </c>
    </row>
    <row r="32" spans="1:22" ht="31.5" customHeight="1" x14ac:dyDescent="0.25">
      <c r="A32" s="10">
        <v>26</v>
      </c>
      <c r="B32" s="10">
        <v>63170</v>
      </c>
      <c r="C32" s="11" t="s">
        <v>61</v>
      </c>
      <c r="D32" s="10" t="s">
        <v>31</v>
      </c>
      <c r="E32" s="10" t="s">
        <v>26</v>
      </c>
      <c r="F32" s="12">
        <v>37601</v>
      </c>
      <c r="G32" s="10" t="s">
        <v>32</v>
      </c>
      <c r="H32" s="10" t="s">
        <v>28</v>
      </c>
      <c r="I32" s="13">
        <f>87+95+91</f>
        <v>273</v>
      </c>
      <c r="J32" s="10">
        <v>300</v>
      </c>
      <c r="K32" s="13">
        <f t="shared" si="0"/>
        <v>91</v>
      </c>
      <c r="L32" s="13">
        <v>93</v>
      </c>
      <c r="M32" s="10">
        <v>100</v>
      </c>
      <c r="N32" s="13">
        <f t="shared" si="1"/>
        <v>93</v>
      </c>
      <c r="O32" s="10" t="s">
        <v>29</v>
      </c>
      <c r="P32" s="10">
        <v>526</v>
      </c>
      <c r="Q32" s="10">
        <v>720</v>
      </c>
      <c r="R32" s="13">
        <f t="shared" si="2"/>
        <v>73.055555555555557</v>
      </c>
      <c r="S32" s="12">
        <v>44606</v>
      </c>
      <c r="T32" s="13">
        <v>95.86</v>
      </c>
      <c r="U32" s="10">
        <v>4114009264</v>
      </c>
      <c r="V32" s="10" t="s">
        <v>32</v>
      </c>
    </row>
    <row r="33" spans="1:22" ht="31.5" customHeight="1" x14ac:dyDescent="0.25">
      <c r="A33" s="10">
        <v>27</v>
      </c>
      <c r="B33" s="10">
        <v>89680</v>
      </c>
      <c r="C33" s="11" t="s">
        <v>62</v>
      </c>
      <c r="D33" s="10" t="s">
        <v>25</v>
      </c>
      <c r="E33" s="10" t="s">
        <v>26</v>
      </c>
      <c r="F33" s="12">
        <v>36947</v>
      </c>
      <c r="G33" s="10" t="s">
        <v>32</v>
      </c>
      <c r="H33" s="10" t="s">
        <v>28</v>
      </c>
      <c r="I33" s="13">
        <f>160+167+143</f>
        <v>470</v>
      </c>
      <c r="J33" s="10">
        <v>600</v>
      </c>
      <c r="K33" s="13">
        <f t="shared" si="0"/>
        <v>78.333333333333329</v>
      </c>
      <c r="L33" s="13">
        <v>153</v>
      </c>
      <c r="M33" s="10">
        <v>200</v>
      </c>
      <c r="N33" s="13">
        <f t="shared" si="1"/>
        <v>76.5</v>
      </c>
      <c r="O33" s="10" t="s">
        <v>29</v>
      </c>
      <c r="P33" s="10">
        <v>494</v>
      </c>
      <c r="Q33" s="10">
        <v>720</v>
      </c>
      <c r="R33" s="13">
        <f t="shared" si="2"/>
        <v>68.611111111111114</v>
      </c>
      <c r="S33" s="12">
        <v>44606</v>
      </c>
      <c r="T33" s="13">
        <v>94.15</v>
      </c>
      <c r="U33" s="10">
        <v>4109005548</v>
      </c>
      <c r="V33" s="10" t="s">
        <v>32</v>
      </c>
    </row>
    <row r="34" spans="1:22" ht="31.5" customHeight="1" x14ac:dyDescent="0.25">
      <c r="A34" s="10">
        <v>28</v>
      </c>
      <c r="B34" s="10">
        <v>69829</v>
      </c>
      <c r="C34" s="11" t="s">
        <v>63</v>
      </c>
      <c r="D34" s="10" t="s">
        <v>25</v>
      </c>
      <c r="E34" s="10" t="s">
        <v>26</v>
      </c>
      <c r="F34" s="12">
        <v>37725</v>
      </c>
      <c r="G34" s="10" t="s">
        <v>32</v>
      </c>
      <c r="H34" s="10" t="s">
        <v>28</v>
      </c>
      <c r="I34" s="13">
        <f>86+84+89</f>
        <v>259</v>
      </c>
      <c r="J34" s="10">
        <v>300</v>
      </c>
      <c r="K34" s="13">
        <f t="shared" si="0"/>
        <v>86.333333333333329</v>
      </c>
      <c r="L34" s="13">
        <v>92</v>
      </c>
      <c r="M34" s="10">
        <v>100</v>
      </c>
      <c r="N34" s="13">
        <f t="shared" si="1"/>
        <v>92</v>
      </c>
      <c r="O34" s="10" t="s">
        <v>29</v>
      </c>
      <c r="P34" s="10">
        <v>518</v>
      </c>
      <c r="Q34" s="10">
        <v>720</v>
      </c>
      <c r="R34" s="13">
        <f t="shared" si="2"/>
        <v>71.944444444444443</v>
      </c>
      <c r="S34" s="12">
        <v>44639</v>
      </c>
      <c r="T34" s="13">
        <v>95.46</v>
      </c>
      <c r="U34" s="10">
        <v>4106007499</v>
      </c>
      <c r="V34" s="10" t="s">
        <v>32</v>
      </c>
    </row>
    <row r="35" spans="1:22" ht="31.5" customHeight="1" x14ac:dyDescent="0.25">
      <c r="A35" s="10">
        <v>29</v>
      </c>
      <c r="B35" s="10">
        <v>86312</v>
      </c>
      <c r="C35" s="11" t="s">
        <v>64</v>
      </c>
      <c r="D35" s="10" t="s">
        <v>25</v>
      </c>
      <c r="E35" s="10" t="s">
        <v>26</v>
      </c>
      <c r="F35" s="12">
        <v>37170</v>
      </c>
      <c r="G35" s="10" t="s">
        <v>32</v>
      </c>
      <c r="H35" s="10" t="s">
        <v>28</v>
      </c>
      <c r="I35" s="13">
        <f>91+88+81</f>
        <v>260</v>
      </c>
      <c r="J35" s="10">
        <v>300</v>
      </c>
      <c r="K35" s="13">
        <f t="shared" si="0"/>
        <v>86.666666666666671</v>
      </c>
      <c r="L35" s="13">
        <v>90</v>
      </c>
      <c r="M35" s="10">
        <v>100</v>
      </c>
      <c r="N35" s="13">
        <f t="shared" si="1"/>
        <v>90</v>
      </c>
      <c r="O35" s="10" t="s">
        <v>29</v>
      </c>
      <c r="P35" s="10">
        <v>498</v>
      </c>
      <c r="Q35" s="10">
        <v>720</v>
      </c>
      <c r="R35" s="13">
        <f t="shared" si="2"/>
        <v>69.166666666666671</v>
      </c>
      <c r="S35" s="12">
        <v>44607</v>
      </c>
      <c r="T35" s="13">
        <v>94.38</v>
      </c>
      <c r="U35" s="10">
        <v>4103006340</v>
      </c>
      <c r="V35" s="10" t="s">
        <v>32</v>
      </c>
    </row>
    <row r="36" spans="1:22" ht="31.5" customHeight="1" x14ac:dyDescent="0.25">
      <c r="A36" s="10">
        <v>30</v>
      </c>
      <c r="B36" s="10">
        <v>80718</v>
      </c>
      <c r="C36" s="11" t="s">
        <v>65</v>
      </c>
      <c r="D36" s="10" t="s">
        <v>31</v>
      </c>
      <c r="E36" s="10" t="s">
        <v>66</v>
      </c>
      <c r="F36" s="12">
        <v>37708</v>
      </c>
      <c r="G36" s="10" t="s">
        <v>32</v>
      </c>
      <c r="H36" s="10" t="s">
        <v>28</v>
      </c>
      <c r="I36" s="13">
        <f>74+88+91</f>
        <v>253</v>
      </c>
      <c r="J36" s="10">
        <v>300</v>
      </c>
      <c r="K36" s="13">
        <f t="shared" si="0"/>
        <v>84.333333333333343</v>
      </c>
      <c r="L36" s="13">
        <v>95</v>
      </c>
      <c r="M36" s="10">
        <v>100</v>
      </c>
      <c r="N36" s="13">
        <f t="shared" si="1"/>
        <v>95</v>
      </c>
      <c r="O36" s="10" t="s">
        <v>29</v>
      </c>
      <c r="P36" s="10">
        <v>504</v>
      </c>
      <c r="Q36" s="10">
        <v>720</v>
      </c>
      <c r="R36" s="13">
        <f t="shared" si="2"/>
        <v>70</v>
      </c>
      <c r="S36" s="12">
        <v>44607</v>
      </c>
      <c r="T36" s="13">
        <v>94.72</v>
      </c>
      <c r="U36" s="10">
        <v>4112006541</v>
      </c>
      <c r="V36" s="10" t="s">
        <v>32</v>
      </c>
    </row>
    <row r="37" spans="1:22" ht="31.5" customHeight="1" x14ac:dyDescent="0.25">
      <c r="A37" s="10">
        <v>31</v>
      </c>
      <c r="B37" s="10">
        <v>432860</v>
      </c>
      <c r="C37" s="11" t="s">
        <v>67</v>
      </c>
      <c r="D37" s="10" t="s">
        <v>31</v>
      </c>
      <c r="E37" s="10" t="s">
        <v>26</v>
      </c>
      <c r="F37" s="12">
        <v>37336</v>
      </c>
      <c r="G37" s="10" t="s">
        <v>27</v>
      </c>
      <c r="H37" s="10" t="s">
        <v>28</v>
      </c>
      <c r="I37" s="13">
        <f>84+91+87</f>
        <v>262</v>
      </c>
      <c r="J37" s="10">
        <v>300</v>
      </c>
      <c r="K37" s="13">
        <f t="shared" si="0"/>
        <v>87.333333333333329</v>
      </c>
      <c r="L37" s="13">
        <v>95</v>
      </c>
      <c r="M37" s="10">
        <v>100</v>
      </c>
      <c r="N37" s="13">
        <f t="shared" si="1"/>
        <v>95</v>
      </c>
      <c r="O37" s="10" t="s">
        <v>29</v>
      </c>
      <c r="P37" s="10">
        <v>254</v>
      </c>
      <c r="Q37" s="10">
        <v>720</v>
      </c>
      <c r="R37" s="13">
        <f t="shared" si="2"/>
        <v>35.277777777777779</v>
      </c>
      <c r="S37" s="12">
        <v>44624</v>
      </c>
      <c r="T37" s="13">
        <v>71.87</v>
      </c>
      <c r="U37" s="10">
        <v>4102001260</v>
      </c>
      <c r="V37" s="10" t="s">
        <v>27</v>
      </c>
    </row>
    <row r="38" spans="1:22" ht="31.5" customHeight="1" x14ac:dyDescent="0.25">
      <c r="A38" s="10">
        <v>32</v>
      </c>
      <c r="B38" s="10">
        <v>67401</v>
      </c>
      <c r="C38" s="11" t="s">
        <v>68</v>
      </c>
      <c r="D38" s="10" t="s">
        <v>31</v>
      </c>
      <c r="E38" s="10" t="s">
        <v>66</v>
      </c>
      <c r="F38" s="12">
        <v>38062</v>
      </c>
      <c r="G38" s="10" t="s">
        <v>32</v>
      </c>
      <c r="H38" s="10" t="s">
        <v>28</v>
      </c>
      <c r="I38" s="13">
        <f>95+95+95</f>
        <v>285</v>
      </c>
      <c r="J38" s="10">
        <v>300</v>
      </c>
      <c r="K38" s="13">
        <f t="shared" si="0"/>
        <v>95</v>
      </c>
      <c r="L38" s="13">
        <v>95</v>
      </c>
      <c r="M38" s="10">
        <v>100</v>
      </c>
      <c r="N38" s="13">
        <f t="shared" si="1"/>
        <v>95</v>
      </c>
      <c r="O38" s="10" t="s">
        <v>29</v>
      </c>
      <c r="P38" s="10">
        <v>521</v>
      </c>
      <c r="Q38" s="10">
        <v>720</v>
      </c>
      <c r="R38" s="13">
        <f t="shared" si="2"/>
        <v>72.361111111111114</v>
      </c>
      <c r="S38" s="12">
        <v>44607</v>
      </c>
      <c r="T38" s="13">
        <v>95.61</v>
      </c>
      <c r="U38" s="10">
        <v>4101105228</v>
      </c>
      <c r="V38" s="10" t="s">
        <v>32</v>
      </c>
    </row>
    <row r="39" spans="1:22" ht="31.5" customHeight="1" x14ac:dyDescent="0.25">
      <c r="A39" s="10">
        <v>33</v>
      </c>
      <c r="B39" s="10">
        <v>325914</v>
      </c>
      <c r="C39" s="11" t="s">
        <v>69</v>
      </c>
      <c r="D39" s="10" t="s">
        <v>25</v>
      </c>
      <c r="E39" s="10" t="s">
        <v>26</v>
      </c>
      <c r="F39" s="12">
        <v>37709</v>
      </c>
      <c r="G39" s="10" t="s">
        <v>27</v>
      </c>
      <c r="H39" s="10" t="s">
        <v>48</v>
      </c>
      <c r="I39" s="13">
        <f>87+81+94</f>
        <v>262</v>
      </c>
      <c r="J39" s="10">
        <v>600</v>
      </c>
      <c r="K39" s="13">
        <f t="shared" si="0"/>
        <v>43.666666666666664</v>
      </c>
      <c r="L39" s="13">
        <v>86</v>
      </c>
      <c r="M39" s="10">
        <v>100</v>
      </c>
      <c r="N39" s="13">
        <f t="shared" si="1"/>
        <v>86</v>
      </c>
      <c r="O39" s="10" t="s">
        <v>29</v>
      </c>
      <c r="P39" s="10">
        <v>311</v>
      </c>
      <c r="Q39" s="10">
        <v>720</v>
      </c>
      <c r="R39" s="13">
        <f t="shared" si="2"/>
        <v>43.194444444444443</v>
      </c>
      <c r="S39" s="12">
        <v>44644</v>
      </c>
      <c r="T39" s="13">
        <v>78.849999999999994</v>
      </c>
      <c r="U39" s="10">
        <v>4101003143</v>
      </c>
      <c r="V39" s="10" t="s">
        <v>27</v>
      </c>
    </row>
    <row r="40" spans="1:22" ht="31.5" customHeight="1" x14ac:dyDescent="0.25">
      <c r="A40" s="10">
        <v>34</v>
      </c>
      <c r="B40" s="10">
        <v>159625</v>
      </c>
      <c r="C40" s="11" t="s">
        <v>70</v>
      </c>
      <c r="D40" s="10" t="s">
        <v>31</v>
      </c>
      <c r="E40" s="10" t="s">
        <v>26</v>
      </c>
      <c r="F40" s="12">
        <v>38157</v>
      </c>
      <c r="G40" s="10" t="s">
        <v>32</v>
      </c>
      <c r="H40" s="10" t="s">
        <v>44</v>
      </c>
      <c r="I40" s="13">
        <f>94.55+95.13+94.27</f>
        <v>283.95</v>
      </c>
      <c r="J40" s="10">
        <v>300</v>
      </c>
      <c r="K40" s="13">
        <f t="shared" si="0"/>
        <v>94.65</v>
      </c>
      <c r="L40" s="13">
        <v>95.95</v>
      </c>
      <c r="M40" s="10">
        <v>100</v>
      </c>
      <c r="N40" s="13">
        <f t="shared" si="1"/>
        <v>95.95</v>
      </c>
      <c r="O40" s="10" t="s">
        <v>29</v>
      </c>
      <c r="P40" s="10">
        <v>426</v>
      </c>
      <c r="Q40" s="10">
        <v>720</v>
      </c>
      <c r="R40" s="13">
        <f t="shared" si="2"/>
        <v>59.166666666666664</v>
      </c>
      <c r="S40" s="12">
        <v>44607</v>
      </c>
      <c r="T40" s="13">
        <v>89.59</v>
      </c>
      <c r="U40" s="10">
        <v>4101015117</v>
      </c>
      <c r="V40" s="10" t="s">
        <v>32</v>
      </c>
    </row>
    <row r="41" spans="1:22" ht="31.5" customHeight="1" x14ac:dyDescent="0.25">
      <c r="A41" s="10">
        <v>35</v>
      </c>
      <c r="B41" s="10">
        <v>88342</v>
      </c>
      <c r="C41" s="11" t="s">
        <v>71</v>
      </c>
      <c r="D41" s="10" t="s">
        <v>25</v>
      </c>
      <c r="E41" s="10" t="s">
        <v>26</v>
      </c>
      <c r="F41" s="12">
        <v>37012</v>
      </c>
      <c r="G41" s="10" t="s">
        <v>32</v>
      </c>
      <c r="H41" s="10" t="s">
        <v>28</v>
      </c>
      <c r="I41" s="13">
        <f>186+196+176</f>
        <v>558</v>
      </c>
      <c r="J41" s="10">
        <v>600</v>
      </c>
      <c r="K41" s="13">
        <f t="shared" si="0"/>
        <v>93</v>
      </c>
      <c r="L41" s="13">
        <v>181</v>
      </c>
      <c r="M41" s="10">
        <v>200</v>
      </c>
      <c r="N41" s="13">
        <f t="shared" si="1"/>
        <v>90.5</v>
      </c>
      <c r="O41" s="10" t="s">
        <v>29</v>
      </c>
      <c r="P41" s="10">
        <v>496</v>
      </c>
      <c r="Q41" s="10">
        <v>720</v>
      </c>
      <c r="R41" s="13">
        <f t="shared" si="2"/>
        <v>68.888888888888886</v>
      </c>
      <c r="S41" s="12">
        <v>44613</v>
      </c>
      <c r="T41" s="13">
        <v>94.26</v>
      </c>
      <c r="U41" s="10">
        <v>4109011342</v>
      </c>
      <c r="V41" s="10" t="s">
        <v>32</v>
      </c>
    </row>
    <row r="42" spans="1:22" ht="31.5" customHeight="1" x14ac:dyDescent="0.25">
      <c r="A42" s="10">
        <v>36</v>
      </c>
      <c r="B42" s="10">
        <v>466264</v>
      </c>
      <c r="C42" s="11" t="s">
        <v>72</v>
      </c>
      <c r="D42" s="10" t="s">
        <v>25</v>
      </c>
      <c r="E42" s="10" t="s">
        <v>26</v>
      </c>
      <c r="F42" s="12">
        <v>37106</v>
      </c>
      <c r="G42" s="10" t="s">
        <v>27</v>
      </c>
      <c r="H42" s="10" t="s">
        <v>28</v>
      </c>
      <c r="I42" s="13">
        <f>78+84+78</f>
        <v>240</v>
      </c>
      <c r="J42" s="10">
        <v>300</v>
      </c>
      <c r="K42" s="13">
        <f t="shared" si="0"/>
        <v>80</v>
      </c>
      <c r="L42" s="13">
        <v>80</v>
      </c>
      <c r="M42" s="10">
        <v>100</v>
      </c>
      <c r="N42" s="13">
        <f t="shared" si="1"/>
        <v>80</v>
      </c>
      <c r="O42" s="10" t="s">
        <v>29</v>
      </c>
      <c r="P42" s="10">
        <v>238</v>
      </c>
      <c r="Q42" s="10">
        <v>720</v>
      </c>
      <c r="R42" s="13">
        <f t="shared" si="2"/>
        <v>33.055555555555557</v>
      </c>
      <c r="S42" s="12">
        <v>44663</v>
      </c>
      <c r="T42" s="13">
        <v>69.67</v>
      </c>
      <c r="U42" s="10">
        <v>4114009286</v>
      </c>
      <c r="V42" s="10" t="s">
        <v>27</v>
      </c>
    </row>
    <row r="43" spans="1:22" ht="31.5" customHeight="1" x14ac:dyDescent="0.25">
      <c r="A43" s="10">
        <v>37</v>
      </c>
      <c r="B43" s="10">
        <v>89519</v>
      </c>
      <c r="C43" s="11" t="s">
        <v>73</v>
      </c>
      <c r="D43" s="10" t="s">
        <v>51</v>
      </c>
      <c r="E43" s="10" t="s">
        <v>26</v>
      </c>
      <c r="F43" s="12">
        <v>37766</v>
      </c>
      <c r="G43" s="10" t="s">
        <v>32</v>
      </c>
      <c r="H43" s="10" t="s">
        <v>55</v>
      </c>
      <c r="I43" s="13">
        <f>90+94+91</f>
        <v>275</v>
      </c>
      <c r="J43" s="10">
        <v>300</v>
      </c>
      <c r="K43" s="13">
        <f t="shared" si="0"/>
        <v>91.666666666666657</v>
      </c>
      <c r="L43" s="13">
        <v>85</v>
      </c>
      <c r="M43" s="10">
        <v>100</v>
      </c>
      <c r="N43" s="13">
        <f t="shared" si="1"/>
        <v>85</v>
      </c>
      <c r="O43" s="10" t="s">
        <v>29</v>
      </c>
      <c r="P43" s="10">
        <v>494</v>
      </c>
      <c r="Q43" s="10">
        <v>720</v>
      </c>
      <c r="R43" s="13">
        <f t="shared" si="2"/>
        <v>68.611111111111114</v>
      </c>
      <c r="S43" s="12">
        <v>44606</v>
      </c>
      <c r="T43" s="13">
        <v>94.15</v>
      </c>
      <c r="U43" s="10">
        <v>4106002099</v>
      </c>
      <c r="V43" s="10" t="s">
        <v>32</v>
      </c>
    </row>
    <row r="44" spans="1:22" ht="31.5" customHeight="1" x14ac:dyDescent="0.25">
      <c r="A44" s="10">
        <v>38</v>
      </c>
      <c r="B44" s="10">
        <v>104564</v>
      </c>
      <c r="C44" s="11" t="s">
        <v>74</v>
      </c>
      <c r="D44" s="10" t="s">
        <v>31</v>
      </c>
      <c r="E44" s="10" t="s">
        <v>26</v>
      </c>
      <c r="F44" s="12">
        <v>37312</v>
      </c>
      <c r="G44" s="10" t="s">
        <v>27</v>
      </c>
      <c r="H44" s="10" t="s">
        <v>28</v>
      </c>
      <c r="I44" s="13">
        <f>89+82+92</f>
        <v>263</v>
      </c>
      <c r="J44" s="10">
        <v>300</v>
      </c>
      <c r="K44" s="13">
        <f t="shared" si="0"/>
        <v>87.666666666666671</v>
      </c>
      <c r="L44" s="13">
        <v>81</v>
      </c>
      <c r="M44" s="10">
        <v>100</v>
      </c>
      <c r="N44" s="13">
        <f t="shared" si="1"/>
        <v>81</v>
      </c>
      <c r="O44" s="10" t="s">
        <v>29</v>
      </c>
      <c r="P44" s="10">
        <v>478</v>
      </c>
      <c r="Q44" s="10">
        <v>720</v>
      </c>
      <c r="R44" s="13">
        <f t="shared" si="2"/>
        <v>66.388888888888886</v>
      </c>
      <c r="S44" s="12">
        <v>44624</v>
      </c>
      <c r="T44" s="13">
        <v>93.18</v>
      </c>
      <c r="U44" s="10">
        <v>4104001458</v>
      </c>
      <c r="V44" s="10" t="s">
        <v>27</v>
      </c>
    </row>
    <row r="45" spans="1:22" ht="31.5" customHeight="1" x14ac:dyDescent="0.25">
      <c r="A45" s="10">
        <v>39</v>
      </c>
      <c r="B45" s="10">
        <v>254363</v>
      </c>
      <c r="C45" s="11" t="s">
        <v>75</v>
      </c>
      <c r="D45" s="10" t="s">
        <v>31</v>
      </c>
      <c r="E45" s="10" t="s">
        <v>26</v>
      </c>
      <c r="F45" s="12">
        <v>37201</v>
      </c>
      <c r="G45" s="10" t="s">
        <v>27</v>
      </c>
      <c r="H45" s="10" t="s">
        <v>28</v>
      </c>
      <c r="I45" s="13">
        <f>80+86+84</f>
        <v>250</v>
      </c>
      <c r="J45" s="10">
        <v>300</v>
      </c>
      <c r="K45" s="13">
        <f t="shared" si="0"/>
        <v>83.333333333333343</v>
      </c>
      <c r="L45" s="13">
        <v>85</v>
      </c>
      <c r="M45" s="10">
        <v>100</v>
      </c>
      <c r="N45" s="13">
        <f t="shared" si="1"/>
        <v>85</v>
      </c>
      <c r="O45" s="10" t="s">
        <v>29</v>
      </c>
      <c r="P45" s="10">
        <v>355</v>
      </c>
      <c r="Q45" s="10">
        <v>720</v>
      </c>
      <c r="R45" s="13">
        <f t="shared" si="2"/>
        <v>49.305555555555557</v>
      </c>
      <c r="S45" s="12">
        <v>44644</v>
      </c>
      <c r="T45" s="13">
        <v>83.43</v>
      </c>
      <c r="U45" s="10">
        <v>4109008581</v>
      </c>
      <c r="V45" s="10" t="s">
        <v>27</v>
      </c>
    </row>
    <row r="46" spans="1:22" ht="31.5" customHeight="1" x14ac:dyDescent="0.25">
      <c r="A46" s="10">
        <v>40</v>
      </c>
      <c r="B46" s="10">
        <v>184249</v>
      </c>
      <c r="C46" s="11" t="s">
        <v>76</v>
      </c>
      <c r="D46" s="10" t="s">
        <v>31</v>
      </c>
      <c r="E46" s="10" t="s">
        <v>26</v>
      </c>
      <c r="F46" s="12">
        <v>37101</v>
      </c>
      <c r="G46" s="10" t="s">
        <v>27</v>
      </c>
      <c r="H46" s="10" t="s">
        <v>28</v>
      </c>
      <c r="I46" s="13">
        <f>153+139+138</f>
        <v>430</v>
      </c>
      <c r="J46" s="10">
        <v>600</v>
      </c>
      <c r="K46" s="13">
        <f t="shared" si="0"/>
        <v>71.666666666666671</v>
      </c>
      <c r="L46" s="13">
        <v>179</v>
      </c>
      <c r="M46" s="10">
        <v>200</v>
      </c>
      <c r="N46" s="13">
        <f t="shared" si="1"/>
        <v>89.5</v>
      </c>
      <c r="O46" s="10" t="s">
        <v>29</v>
      </c>
      <c r="P46" s="10">
        <v>406</v>
      </c>
      <c r="Q46" s="10">
        <v>720</v>
      </c>
      <c r="R46" s="13">
        <f t="shared" si="2"/>
        <v>56.388888888888886</v>
      </c>
      <c r="S46" s="12">
        <v>44624</v>
      </c>
      <c r="T46" s="13">
        <v>88</v>
      </c>
      <c r="U46" s="10">
        <v>4103004065</v>
      </c>
      <c r="V46" s="10" t="s">
        <v>27</v>
      </c>
    </row>
    <row r="47" spans="1:22" ht="31.5" customHeight="1" x14ac:dyDescent="0.25">
      <c r="A47" s="10">
        <v>41</v>
      </c>
      <c r="B47" s="10">
        <v>66851</v>
      </c>
      <c r="C47" s="11" t="s">
        <v>77</v>
      </c>
      <c r="D47" s="10" t="s">
        <v>31</v>
      </c>
      <c r="E47" s="10" t="s">
        <v>26</v>
      </c>
      <c r="F47" s="12">
        <v>37775</v>
      </c>
      <c r="G47" s="10" t="s">
        <v>32</v>
      </c>
      <c r="H47" s="10" t="s">
        <v>28</v>
      </c>
      <c r="I47" s="13">
        <f>81+73+79</f>
        <v>233</v>
      </c>
      <c r="J47" s="10">
        <v>300</v>
      </c>
      <c r="K47" s="13">
        <f t="shared" si="0"/>
        <v>77.666666666666657</v>
      </c>
      <c r="L47" s="13">
        <v>84</v>
      </c>
      <c r="M47" s="10">
        <v>100</v>
      </c>
      <c r="N47" s="13">
        <f t="shared" si="1"/>
        <v>84</v>
      </c>
      <c r="O47" s="10" t="s">
        <v>29</v>
      </c>
      <c r="P47" s="10">
        <v>522</v>
      </c>
      <c r="Q47" s="10">
        <v>720</v>
      </c>
      <c r="R47" s="13">
        <f t="shared" si="2"/>
        <v>72.5</v>
      </c>
      <c r="S47" s="12">
        <v>44607</v>
      </c>
      <c r="T47" s="13">
        <v>95.67</v>
      </c>
      <c r="U47" s="10">
        <v>4105003004</v>
      </c>
      <c r="V47" s="10" t="s">
        <v>32</v>
      </c>
    </row>
    <row r="48" spans="1:22" ht="31.5" customHeight="1" x14ac:dyDescent="0.25">
      <c r="A48" s="10">
        <v>42</v>
      </c>
      <c r="B48" s="10">
        <v>205091</v>
      </c>
      <c r="C48" s="11" t="s">
        <v>78</v>
      </c>
      <c r="D48" s="10" t="s">
        <v>31</v>
      </c>
      <c r="E48" s="10" t="s">
        <v>26</v>
      </c>
      <c r="F48" s="12">
        <v>37066</v>
      </c>
      <c r="G48" s="10" t="s">
        <v>27</v>
      </c>
      <c r="H48" s="10" t="s">
        <v>28</v>
      </c>
      <c r="I48" s="13">
        <f>172+127+111</f>
        <v>410</v>
      </c>
      <c r="J48" s="10">
        <v>600</v>
      </c>
      <c r="K48" s="13">
        <f t="shared" si="0"/>
        <v>68.333333333333329</v>
      </c>
      <c r="L48" s="13">
        <v>141</v>
      </c>
      <c r="M48" s="10">
        <v>200</v>
      </c>
      <c r="N48" s="13">
        <f t="shared" si="1"/>
        <v>70.5</v>
      </c>
      <c r="O48" s="10" t="s">
        <v>29</v>
      </c>
      <c r="P48" s="10">
        <v>390</v>
      </c>
      <c r="Q48" s="10">
        <v>720</v>
      </c>
      <c r="R48" s="13">
        <f t="shared" si="2"/>
        <v>54.166666666666664</v>
      </c>
      <c r="S48" s="12">
        <v>44624</v>
      </c>
      <c r="T48" s="13">
        <v>86.64</v>
      </c>
      <c r="U48" s="10">
        <v>4111001416</v>
      </c>
      <c r="V48" s="10" t="s">
        <v>27</v>
      </c>
    </row>
    <row r="49" spans="1:22" ht="31.5" customHeight="1" x14ac:dyDescent="0.25">
      <c r="A49" s="10">
        <v>43</v>
      </c>
      <c r="B49" s="10">
        <v>68534</v>
      </c>
      <c r="C49" s="11" t="s">
        <v>79</v>
      </c>
      <c r="D49" s="10" t="s">
        <v>31</v>
      </c>
      <c r="E49" s="10" t="s">
        <v>26</v>
      </c>
      <c r="F49" s="12">
        <v>37229</v>
      </c>
      <c r="G49" s="10" t="s">
        <v>32</v>
      </c>
      <c r="H49" s="10" t="s">
        <v>28</v>
      </c>
      <c r="I49" s="13">
        <f>85+86+77</f>
        <v>248</v>
      </c>
      <c r="J49" s="10">
        <v>300</v>
      </c>
      <c r="K49" s="13">
        <f t="shared" si="0"/>
        <v>82.666666666666671</v>
      </c>
      <c r="L49" s="13">
        <v>87</v>
      </c>
      <c r="M49" s="10">
        <v>100</v>
      </c>
      <c r="N49" s="13">
        <f t="shared" si="1"/>
        <v>87</v>
      </c>
      <c r="O49" s="10" t="s">
        <v>29</v>
      </c>
      <c r="P49" s="10">
        <v>519</v>
      </c>
      <c r="Q49" s="10">
        <v>720</v>
      </c>
      <c r="R49" s="13">
        <f t="shared" si="2"/>
        <v>72.083333333333329</v>
      </c>
      <c r="S49" s="12">
        <v>44608</v>
      </c>
      <c r="T49" s="13">
        <v>95.51</v>
      </c>
      <c r="U49" s="10">
        <v>4116001207</v>
      </c>
      <c r="V49" s="10" t="s">
        <v>32</v>
      </c>
    </row>
    <row r="50" spans="1:22" ht="31.5" customHeight="1" x14ac:dyDescent="0.25">
      <c r="A50" s="10">
        <v>44</v>
      </c>
      <c r="B50" s="10">
        <v>65233</v>
      </c>
      <c r="C50" s="11" t="s">
        <v>80</v>
      </c>
      <c r="D50" s="10" t="s">
        <v>25</v>
      </c>
      <c r="E50" s="10" t="s">
        <v>26</v>
      </c>
      <c r="F50" s="12">
        <v>37585</v>
      </c>
      <c r="G50" s="10" t="s">
        <v>32</v>
      </c>
      <c r="H50" s="10" t="s">
        <v>28</v>
      </c>
      <c r="I50" s="13">
        <f>95+95+92</f>
        <v>282</v>
      </c>
      <c r="J50" s="10">
        <v>300</v>
      </c>
      <c r="K50" s="13">
        <f t="shared" si="0"/>
        <v>94</v>
      </c>
      <c r="L50" s="13">
        <v>93</v>
      </c>
      <c r="M50" s="10">
        <v>100</v>
      </c>
      <c r="N50" s="13">
        <f t="shared" si="1"/>
        <v>93</v>
      </c>
      <c r="O50" s="10" t="s">
        <v>29</v>
      </c>
      <c r="P50" s="10">
        <v>524</v>
      </c>
      <c r="Q50" s="10">
        <v>720</v>
      </c>
      <c r="R50" s="13">
        <f t="shared" si="2"/>
        <v>72.777777777777771</v>
      </c>
      <c r="S50" s="12">
        <v>44608</v>
      </c>
      <c r="T50" s="13">
        <v>95.76</v>
      </c>
      <c r="U50" s="10">
        <v>4114005013</v>
      </c>
      <c r="V50" s="10" t="s">
        <v>32</v>
      </c>
    </row>
    <row r="51" spans="1:22" ht="31.5" customHeight="1" x14ac:dyDescent="0.25">
      <c r="A51" s="10">
        <v>45</v>
      </c>
      <c r="B51" s="10">
        <v>533904</v>
      </c>
      <c r="C51" s="11" t="s">
        <v>81</v>
      </c>
      <c r="D51" s="10" t="s">
        <v>31</v>
      </c>
      <c r="E51" s="10" t="s">
        <v>26</v>
      </c>
      <c r="F51" s="12">
        <v>37886</v>
      </c>
      <c r="G51" s="10" t="s">
        <v>27</v>
      </c>
      <c r="H51" s="10" t="s">
        <v>28</v>
      </c>
      <c r="I51" s="13">
        <f>89+82+91</f>
        <v>262</v>
      </c>
      <c r="J51" s="10">
        <v>300</v>
      </c>
      <c r="K51" s="13">
        <f t="shared" si="0"/>
        <v>87.333333333333329</v>
      </c>
      <c r="L51" s="13">
        <v>86</v>
      </c>
      <c r="M51" s="10">
        <v>100</v>
      </c>
      <c r="N51" s="13">
        <f t="shared" si="1"/>
        <v>86</v>
      </c>
      <c r="O51" s="10" t="s">
        <v>29</v>
      </c>
      <c r="P51" s="10">
        <v>210</v>
      </c>
      <c r="Q51" s="10">
        <v>720</v>
      </c>
      <c r="R51" s="13">
        <f t="shared" si="2"/>
        <v>29.166666666666668</v>
      </c>
      <c r="S51" s="12">
        <v>44660</v>
      </c>
      <c r="T51" s="13">
        <v>65.34</v>
      </c>
      <c r="U51" s="10">
        <v>4106002652</v>
      </c>
      <c r="V51" s="10" t="s">
        <v>27</v>
      </c>
    </row>
    <row r="52" spans="1:22" ht="31.5" customHeight="1" x14ac:dyDescent="0.25">
      <c r="A52" s="10">
        <v>46</v>
      </c>
      <c r="B52" s="10">
        <v>509066</v>
      </c>
      <c r="C52" s="11" t="s">
        <v>82</v>
      </c>
      <c r="D52" s="10" t="s">
        <v>25</v>
      </c>
      <c r="E52" s="10" t="s">
        <v>26</v>
      </c>
      <c r="F52" s="12">
        <v>37215</v>
      </c>
      <c r="G52" s="10" t="s">
        <v>27</v>
      </c>
      <c r="H52" s="10" t="s">
        <v>28</v>
      </c>
      <c r="I52" s="13">
        <f>68+71+66</f>
        <v>205</v>
      </c>
      <c r="J52" s="10">
        <v>300</v>
      </c>
      <c r="K52" s="13">
        <f t="shared" si="0"/>
        <v>68.333333333333329</v>
      </c>
      <c r="L52" s="13">
        <v>62</v>
      </c>
      <c r="M52" s="10">
        <v>100</v>
      </c>
      <c r="N52" s="13">
        <f t="shared" si="1"/>
        <v>62</v>
      </c>
      <c r="O52" s="10" t="s">
        <v>29</v>
      </c>
      <c r="P52" s="10">
        <v>220</v>
      </c>
      <c r="Q52" s="10">
        <v>720</v>
      </c>
      <c r="R52" s="13">
        <f t="shared" si="2"/>
        <v>30.555555555555557</v>
      </c>
      <c r="S52" s="12">
        <v>44655</v>
      </c>
      <c r="T52" s="13">
        <v>66.959999999999994</v>
      </c>
      <c r="U52" s="10">
        <v>4109002736</v>
      </c>
      <c r="V52" s="10" t="s">
        <v>27</v>
      </c>
    </row>
    <row r="53" spans="1:22" ht="31.5" customHeight="1" x14ac:dyDescent="0.25">
      <c r="A53" s="10">
        <v>47</v>
      </c>
      <c r="B53" s="10">
        <v>70321</v>
      </c>
      <c r="C53" s="11" t="s">
        <v>83</v>
      </c>
      <c r="D53" s="10" t="s">
        <v>31</v>
      </c>
      <c r="E53" s="10" t="s">
        <v>66</v>
      </c>
      <c r="F53" s="12">
        <v>37789</v>
      </c>
      <c r="G53" s="10" t="s">
        <v>32</v>
      </c>
      <c r="H53" s="10" t="s">
        <v>28</v>
      </c>
      <c r="I53" s="13">
        <f>79+80+87</f>
        <v>246</v>
      </c>
      <c r="J53" s="10">
        <v>300</v>
      </c>
      <c r="K53" s="13">
        <f t="shared" si="0"/>
        <v>82</v>
      </c>
      <c r="L53" s="13">
        <v>88</v>
      </c>
      <c r="M53" s="10">
        <v>100</v>
      </c>
      <c r="N53" s="13">
        <f t="shared" si="1"/>
        <v>88</v>
      </c>
      <c r="O53" s="10" t="s">
        <v>29</v>
      </c>
      <c r="P53" s="10">
        <v>517</v>
      </c>
      <c r="Q53" s="10">
        <v>720</v>
      </c>
      <c r="R53" s="13">
        <f t="shared" si="2"/>
        <v>71.805555555555557</v>
      </c>
      <c r="S53" s="12">
        <v>44641</v>
      </c>
      <c r="T53" s="13">
        <v>95.41</v>
      </c>
      <c r="U53" s="10">
        <v>4118002452</v>
      </c>
      <c r="V53" s="10" t="s">
        <v>32</v>
      </c>
    </row>
    <row r="54" spans="1:22" ht="31.5" customHeight="1" x14ac:dyDescent="0.25">
      <c r="A54" s="10">
        <v>48</v>
      </c>
      <c r="B54" s="10">
        <v>68852</v>
      </c>
      <c r="C54" s="11" t="s">
        <v>84</v>
      </c>
      <c r="D54" s="10" t="s">
        <v>51</v>
      </c>
      <c r="E54" s="10" t="s">
        <v>26</v>
      </c>
      <c r="F54" s="12">
        <v>37051</v>
      </c>
      <c r="G54" s="10" t="s">
        <v>32</v>
      </c>
      <c r="H54" s="10" t="s">
        <v>55</v>
      </c>
      <c r="I54" s="13">
        <f>181+163+154</f>
        <v>498</v>
      </c>
      <c r="J54" s="10">
        <v>600</v>
      </c>
      <c r="K54" s="13">
        <f t="shared" si="0"/>
        <v>83</v>
      </c>
      <c r="L54" s="13">
        <v>188</v>
      </c>
      <c r="M54" s="10">
        <v>200</v>
      </c>
      <c r="N54" s="13">
        <f t="shared" si="1"/>
        <v>94</v>
      </c>
      <c r="O54" s="10" t="s">
        <v>29</v>
      </c>
      <c r="P54" s="10">
        <v>519</v>
      </c>
      <c r="Q54" s="10">
        <v>720</v>
      </c>
      <c r="R54" s="13">
        <f t="shared" si="2"/>
        <v>72.083333333333329</v>
      </c>
      <c r="S54" s="12">
        <v>44608</v>
      </c>
      <c r="T54" s="13">
        <v>95.51</v>
      </c>
      <c r="U54" s="10">
        <v>4112008376</v>
      </c>
      <c r="V54" s="10" t="s">
        <v>32</v>
      </c>
    </row>
    <row r="55" spans="1:22" ht="31.5" customHeight="1" x14ac:dyDescent="0.25">
      <c r="A55" s="10">
        <v>49</v>
      </c>
      <c r="B55" s="10">
        <v>68873</v>
      </c>
      <c r="C55" s="11" t="s">
        <v>85</v>
      </c>
      <c r="D55" s="10" t="s">
        <v>25</v>
      </c>
      <c r="E55" s="10" t="s">
        <v>26</v>
      </c>
      <c r="F55" s="12">
        <v>37585</v>
      </c>
      <c r="G55" s="10" t="s">
        <v>32</v>
      </c>
      <c r="H55" s="10" t="s">
        <v>28</v>
      </c>
      <c r="I55" s="13">
        <f>86+86+90</f>
        <v>262</v>
      </c>
      <c r="J55" s="10">
        <v>300</v>
      </c>
      <c r="K55" s="13">
        <f t="shared" si="0"/>
        <v>87.333333333333329</v>
      </c>
      <c r="L55" s="13">
        <v>88</v>
      </c>
      <c r="M55" s="10">
        <v>100</v>
      </c>
      <c r="N55" s="13">
        <f t="shared" si="1"/>
        <v>88</v>
      </c>
      <c r="O55" s="10" t="s">
        <v>29</v>
      </c>
      <c r="P55" s="10">
        <v>519</v>
      </c>
      <c r="Q55" s="10">
        <v>720</v>
      </c>
      <c r="R55" s="13">
        <f t="shared" si="2"/>
        <v>72.083333333333329</v>
      </c>
      <c r="S55" s="12">
        <v>44608</v>
      </c>
      <c r="T55" s="13">
        <v>95.51</v>
      </c>
      <c r="U55" s="10">
        <v>4103005308</v>
      </c>
      <c r="V55" s="10" t="s">
        <v>32</v>
      </c>
    </row>
    <row r="56" spans="1:22" ht="31.5" customHeight="1" x14ac:dyDescent="0.25">
      <c r="A56" s="10">
        <v>50</v>
      </c>
      <c r="B56" s="10">
        <v>278450</v>
      </c>
      <c r="C56" s="11" t="s">
        <v>86</v>
      </c>
      <c r="D56" s="10" t="s">
        <v>25</v>
      </c>
      <c r="E56" s="10" t="s">
        <v>26</v>
      </c>
      <c r="F56" s="12">
        <v>37899</v>
      </c>
      <c r="G56" s="10" t="s">
        <v>27</v>
      </c>
      <c r="H56" s="10" t="s">
        <v>28</v>
      </c>
      <c r="I56" s="13">
        <f>96.14+94.71+92.14</f>
        <v>282.99</v>
      </c>
      <c r="J56" s="10">
        <v>300</v>
      </c>
      <c r="K56" s="13">
        <f t="shared" si="0"/>
        <v>94.33</v>
      </c>
      <c r="L56" s="13">
        <v>91</v>
      </c>
      <c r="M56" s="10">
        <v>100</v>
      </c>
      <c r="N56" s="13">
        <f t="shared" si="1"/>
        <v>91</v>
      </c>
      <c r="O56" s="10" t="s">
        <v>29</v>
      </c>
      <c r="P56" s="10">
        <v>340</v>
      </c>
      <c r="Q56" s="10">
        <v>720</v>
      </c>
      <c r="R56" s="13">
        <f t="shared" si="2"/>
        <v>47.222222222222221</v>
      </c>
      <c r="S56" s="12">
        <v>44644</v>
      </c>
      <c r="T56" s="13">
        <v>81.94</v>
      </c>
      <c r="U56" s="10">
        <v>4106011078</v>
      </c>
      <c r="V56" s="10" t="s">
        <v>27</v>
      </c>
    </row>
    <row r="57" spans="1:22" ht="31.5" customHeight="1" x14ac:dyDescent="0.25">
      <c r="A57" s="10">
        <v>51</v>
      </c>
      <c r="B57" s="10">
        <v>380972</v>
      </c>
      <c r="C57" s="11" t="s">
        <v>87</v>
      </c>
      <c r="D57" s="10" t="s">
        <v>51</v>
      </c>
      <c r="E57" s="10" t="s">
        <v>26</v>
      </c>
      <c r="F57" s="12">
        <v>37242</v>
      </c>
      <c r="G57" s="10" t="s">
        <v>32</v>
      </c>
      <c r="H57" s="10" t="s">
        <v>88</v>
      </c>
      <c r="I57" s="13">
        <f>57+54+67</f>
        <v>178</v>
      </c>
      <c r="J57" s="10">
        <v>300</v>
      </c>
      <c r="K57" s="13">
        <f t="shared" si="0"/>
        <v>59.333333333333336</v>
      </c>
      <c r="L57" s="13">
        <v>65</v>
      </c>
      <c r="M57" s="10">
        <v>100</v>
      </c>
      <c r="N57" s="13">
        <f t="shared" si="1"/>
        <v>65</v>
      </c>
      <c r="O57" s="10" t="s">
        <v>29</v>
      </c>
      <c r="P57" s="10">
        <v>280</v>
      </c>
      <c r="Q57" s="10">
        <v>720</v>
      </c>
      <c r="R57" s="13">
        <f t="shared" si="2"/>
        <v>38.888888888888893</v>
      </c>
      <c r="S57" s="12">
        <v>44610</v>
      </c>
      <c r="T57" s="13">
        <v>75.209999999999994</v>
      </c>
      <c r="U57" s="10">
        <v>4101104433</v>
      </c>
      <c r="V57" s="10" t="s">
        <v>32</v>
      </c>
    </row>
    <row r="58" spans="1:22" ht="31.5" customHeight="1" x14ac:dyDescent="0.25">
      <c r="A58" s="10">
        <v>52</v>
      </c>
      <c r="B58" s="10">
        <v>679568</v>
      </c>
      <c r="C58" s="11" t="s">
        <v>89</v>
      </c>
      <c r="D58" s="10" t="s">
        <v>31</v>
      </c>
      <c r="E58" s="10" t="s">
        <v>26</v>
      </c>
      <c r="F58" s="12">
        <v>38116</v>
      </c>
      <c r="G58" s="10" t="s">
        <v>27</v>
      </c>
      <c r="H58" s="10" t="s">
        <v>28</v>
      </c>
      <c r="I58" s="13">
        <f>89+83+91</f>
        <v>263</v>
      </c>
      <c r="J58" s="10">
        <v>300</v>
      </c>
      <c r="K58" s="13">
        <f t="shared" si="0"/>
        <v>87.666666666666671</v>
      </c>
      <c r="L58" s="13">
        <v>86</v>
      </c>
      <c r="M58" s="10">
        <v>100</v>
      </c>
      <c r="N58" s="13">
        <f t="shared" si="1"/>
        <v>86</v>
      </c>
      <c r="O58" s="10" t="s">
        <v>29</v>
      </c>
      <c r="P58" s="10">
        <v>161</v>
      </c>
      <c r="Q58" s="10">
        <v>720</v>
      </c>
      <c r="R58" s="13">
        <f t="shared" si="2"/>
        <v>22.361111111111111</v>
      </c>
      <c r="S58" s="12">
        <v>44664</v>
      </c>
      <c r="T58" s="13">
        <v>55.94</v>
      </c>
      <c r="U58" s="10">
        <v>4115001394</v>
      </c>
      <c r="V58" s="10" t="s">
        <v>27</v>
      </c>
    </row>
    <row r="59" spans="1:22" ht="31.5" customHeight="1" x14ac:dyDescent="0.25">
      <c r="A59" s="10">
        <v>53</v>
      </c>
      <c r="B59" s="10">
        <v>186714</v>
      </c>
      <c r="C59" s="11" t="s">
        <v>90</v>
      </c>
      <c r="D59" s="10" t="s">
        <v>51</v>
      </c>
      <c r="E59" s="10" t="s">
        <v>26</v>
      </c>
      <c r="F59" s="12">
        <v>36423</v>
      </c>
      <c r="G59" s="10" t="s">
        <v>32</v>
      </c>
      <c r="H59" s="10" t="s">
        <v>44</v>
      </c>
      <c r="I59" s="13">
        <f>165+136+131</f>
        <v>432</v>
      </c>
      <c r="J59" s="10">
        <v>600</v>
      </c>
      <c r="K59" s="13">
        <f t="shared" si="0"/>
        <v>72</v>
      </c>
      <c r="L59" s="13">
        <v>170</v>
      </c>
      <c r="M59" s="10">
        <v>200</v>
      </c>
      <c r="N59" s="13">
        <f t="shared" si="1"/>
        <v>85</v>
      </c>
      <c r="O59" s="10" t="s">
        <v>29</v>
      </c>
      <c r="P59" s="10">
        <v>404</v>
      </c>
      <c r="Q59" s="10">
        <v>720</v>
      </c>
      <c r="R59" s="13">
        <f t="shared" si="2"/>
        <v>56.111111111111114</v>
      </c>
      <c r="S59" s="12">
        <v>44610</v>
      </c>
      <c r="T59" s="13">
        <v>87.82</v>
      </c>
      <c r="U59" s="10">
        <v>4101113025</v>
      </c>
      <c r="V59" s="10" t="s">
        <v>32</v>
      </c>
    </row>
    <row r="60" spans="1:22" ht="31.5" customHeight="1" x14ac:dyDescent="0.25">
      <c r="A60" s="10">
        <v>54</v>
      </c>
      <c r="B60" s="10">
        <v>172398</v>
      </c>
      <c r="C60" s="11" t="s">
        <v>91</v>
      </c>
      <c r="D60" s="10" t="s">
        <v>51</v>
      </c>
      <c r="E60" s="10" t="s">
        <v>26</v>
      </c>
      <c r="F60" s="12">
        <v>37052</v>
      </c>
      <c r="G60" s="10" t="s">
        <v>32</v>
      </c>
      <c r="H60" s="10" t="s">
        <v>44</v>
      </c>
      <c r="I60" s="13">
        <f>68+63+84</f>
        <v>215</v>
      </c>
      <c r="J60" s="10">
        <v>300</v>
      </c>
      <c r="K60" s="13">
        <f t="shared" si="0"/>
        <v>71.666666666666671</v>
      </c>
      <c r="L60" s="13">
        <v>76</v>
      </c>
      <c r="M60" s="10">
        <v>100</v>
      </c>
      <c r="N60" s="13">
        <f t="shared" si="1"/>
        <v>76</v>
      </c>
      <c r="O60" s="10" t="s">
        <v>29</v>
      </c>
      <c r="P60" s="10">
        <v>416</v>
      </c>
      <c r="Q60" s="10">
        <v>720</v>
      </c>
      <c r="R60" s="13">
        <f t="shared" si="2"/>
        <v>57.777777777777771</v>
      </c>
      <c r="S60" s="12">
        <v>44606</v>
      </c>
      <c r="T60" s="13">
        <v>88.8</v>
      </c>
      <c r="U60" s="10">
        <v>4114009383</v>
      </c>
      <c r="V60" s="10" t="s">
        <v>32</v>
      </c>
    </row>
    <row r="61" spans="1:22" ht="31.5" customHeight="1" x14ac:dyDescent="0.25">
      <c r="A61" s="10">
        <v>55</v>
      </c>
      <c r="B61" s="10">
        <v>546209</v>
      </c>
      <c r="C61" s="11" t="s">
        <v>92</v>
      </c>
      <c r="D61" s="10" t="s">
        <v>25</v>
      </c>
      <c r="E61" s="10" t="s">
        <v>26</v>
      </c>
      <c r="F61" s="12">
        <v>37845</v>
      </c>
      <c r="G61" s="10" t="s">
        <v>32</v>
      </c>
      <c r="H61" s="10" t="s">
        <v>44</v>
      </c>
      <c r="I61" s="13">
        <f>72+78+69</f>
        <v>219</v>
      </c>
      <c r="J61" s="10">
        <v>300</v>
      </c>
      <c r="K61" s="13">
        <f t="shared" si="0"/>
        <v>73</v>
      </c>
      <c r="L61" s="13">
        <v>68</v>
      </c>
      <c r="M61" s="10">
        <v>100</v>
      </c>
      <c r="N61" s="13">
        <f t="shared" si="1"/>
        <v>68</v>
      </c>
      <c r="O61" s="10" t="s">
        <v>29</v>
      </c>
      <c r="P61" s="10">
        <v>205</v>
      </c>
      <c r="Q61" s="10">
        <v>720</v>
      </c>
      <c r="R61" s="13">
        <f t="shared" si="2"/>
        <v>28.472222222222221</v>
      </c>
      <c r="S61" s="12">
        <v>44594</v>
      </c>
      <c r="T61" s="13">
        <v>64.510000000000005</v>
      </c>
      <c r="U61" s="10">
        <v>4113018276</v>
      </c>
      <c r="V61" s="10" t="s">
        <v>32</v>
      </c>
    </row>
    <row r="62" spans="1:22" ht="31.5" customHeight="1" x14ac:dyDescent="0.25">
      <c r="A62" s="10">
        <v>56</v>
      </c>
      <c r="B62" s="10">
        <v>69863</v>
      </c>
      <c r="C62" s="11" t="s">
        <v>93</v>
      </c>
      <c r="D62" s="10" t="s">
        <v>25</v>
      </c>
      <c r="E62" s="10" t="s">
        <v>26</v>
      </c>
      <c r="F62" s="12">
        <v>37148</v>
      </c>
      <c r="G62" s="10" t="s">
        <v>32</v>
      </c>
      <c r="H62" s="10" t="s">
        <v>28</v>
      </c>
      <c r="I62" s="13">
        <f>75+66+69</f>
        <v>210</v>
      </c>
      <c r="J62" s="10">
        <v>300</v>
      </c>
      <c r="K62" s="13">
        <f t="shared" si="0"/>
        <v>70</v>
      </c>
      <c r="L62" s="13">
        <v>75</v>
      </c>
      <c r="M62" s="10">
        <v>100</v>
      </c>
      <c r="N62" s="13">
        <f t="shared" si="1"/>
        <v>75</v>
      </c>
      <c r="O62" s="10" t="s">
        <v>29</v>
      </c>
      <c r="P62" s="10">
        <v>518</v>
      </c>
      <c r="Q62" s="10">
        <v>720</v>
      </c>
      <c r="R62" s="13">
        <f t="shared" si="2"/>
        <v>71.944444444444443</v>
      </c>
      <c r="S62" s="12">
        <v>44651</v>
      </c>
      <c r="T62" s="13">
        <v>95.46</v>
      </c>
      <c r="U62" s="10">
        <v>4101102671</v>
      </c>
      <c r="V62" s="10" t="s">
        <v>32</v>
      </c>
    </row>
    <row r="63" spans="1:22" ht="31.5" customHeight="1" x14ac:dyDescent="0.25">
      <c r="A63" s="10">
        <v>57</v>
      </c>
      <c r="B63" s="10">
        <v>278879</v>
      </c>
      <c r="C63" s="11" t="s">
        <v>94</v>
      </c>
      <c r="D63" s="10" t="s">
        <v>25</v>
      </c>
      <c r="E63" s="10" t="s">
        <v>26</v>
      </c>
      <c r="F63" s="12">
        <v>37407</v>
      </c>
      <c r="G63" s="10" t="s">
        <v>27</v>
      </c>
      <c r="H63" s="10" t="s">
        <v>28</v>
      </c>
      <c r="I63" s="13">
        <f>67+69+79</f>
        <v>215</v>
      </c>
      <c r="J63" s="10">
        <v>300</v>
      </c>
      <c r="K63" s="13">
        <f t="shared" si="0"/>
        <v>71.666666666666671</v>
      </c>
      <c r="L63" s="13">
        <v>79</v>
      </c>
      <c r="M63" s="10">
        <v>100</v>
      </c>
      <c r="N63" s="13">
        <f t="shared" si="1"/>
        <v>79</v>
      </c>
      <c r="O63" s="10" t="s">
        <v>29</v>
      </c>
      <c r="P63" s="10">
        <v>339</v>
      </c>
      <c r="Q63" s="10">
        <v>720</v>
      </c>
      <c r="R63" s="13">
        <f t="shared" si="2"/>
        <v>47.083333333333336</v>
      </c>
      <c r="S63" s="12">
        <v>44624</v>
      </c>
      <c r="T63" s="13">
        <v>81.84</v>
      </c>
      <c r="U63" s="10">
        <v>4109001396</v>
      </c>
      <c r="V63" s="10" t="s">
        <v>27</v>
      </c>
    </row>
    <row r="64" spans="1:22" ht="31.5" customHeight="1" x14ac:dyDescent="0.25">
      <c r="A64" s="10">
        <v>58</v>
      </c>
      <c r="B64" s="10">
        <v>70286</v>
      </c>
      <c r="C64" s="11" t="s">
        <v>95</v>
      </c>
      <c r="D64" s="10" t="s">
        <v>31</v>
      </c>
      <c r="E64" s="10" t="s">
        <v>26</v>
      </c>
      <c r="F64" s="12">
        <v>37747</v>
      </c>
      <c r="G64" s="10" t="s">
        <v>32</v>
      </c>
      <c r="H64" s="10" t="s">
        <v>28</v>
      </c>
      <c r="I64" s="13">
        <f>80+88+86</f>
        <v>254</v>
      </c>
      <c r="J64" s="10">
        <v>300</v>
      </c>
      <c r="K64" s="13">
        <f t="shared" si="0"/>
        <v>84.666666666666671</v>
      </c>
      <c r="L64" s="13">
        <v>93</v>
      </c>
      <c r="M64" s="10">
        <v>100</v>
      </c>
      <c r="N64" s="13">
        <f t="shared" si="1"/>
        <v>93</v>
      </c>
      <c r="O64" s="10" t="s">
        <v>29</v>
      </c>
      <c r="P64" s="10">
        <v>517</v>
      </c>
      <c r="Q64" s="10">
        <v>720</v>
      </c>
      <c r="R64" s="13">
        <f t="shared" si="2"/>
        <v>71.805555555555557</v>
      </c>
      <c r="S64" s="12">
        <v>44608</v>
      </c>
      <c r="T64" s="13">
        <v>95.41</v>
      </c>
      <c r="U64" s="10">
        <v>4103002299</v>
      </c>
      <c r="V64" s="10" t="s">
        <v>32</v>
      </c>
    </row>
    <row r="65" spans="1:22" ht="31.5" customHeight="1" x14ac:dyDescent="0.25">
      <c r="A65" s="10">
        <v>59</v>
      </c>
      <c r="B65" s="10">
        <v>417416</v>
      </c>
      <c r="C65" s="11" t="s">
        <v>96</v>
      </c>
      <c r="D65" s="10" t="s">
        <v>31</v>
      </c>
      <c r="E65" s="10" t="s">
        <v>26</v>
      </c>
      <c r="F65" s="12">
        <v>37680</v>
      </c>
      <c r="G65" s="10" t="s">
        <v>27</v>
      </c>
      <c r="H65" s="10" t="s">
        <v>28</v>
      </c>
      <c r="I65" s="13">
        <f>88+85+93</f>
        <v>266</v>
      </c>
      <c r="J65" s="10">
        <v>300</v>
      </c>
      <c r="K65" s="13">
        <f t="shared" si="0"/>
        <v>88.666666666666671</v>
      </c>
      <c r="L65" s="13">
        <v>84</v>
      </c>
      <c r="M65" s="10">
        <v>100</v>
      </c>
      <c r="N65" s="13">
        <f t="shared" si="1"/>
        <v>84</v>
      </c>
      <c r="O65" s="10" t="s">
        <v>29</v>
      </c>
      <c r="P65" s="10">
        <v>262</v>
      </c>
      <c r="Q65" s="10">
        <v>720</v>
      </c>
      <c r="R65" s="13">
        <f t="shared" si="2"/>
        <v>36.388888888888886</v>
      </c>
      <c r="S65" s="12">
        <v>44625</v>
      </c>
      <c r="T65" s="13">
        <v>72.930000000000007</v>
      </c>
      <c r="U65" s="10">
        <v>4110001813</v>
      </c>
      <c r="V65" s="10" t="s">
        <v>27</v>
      </c>
    </row>
    <row r="66" spans="1:22" ht="31.5" customHeight="1" x14ac:dyDescent="0.25">
      <c r="A66" s="10">
        <v>60</v>
      </c>
      <c r="B66" s="10">
        <v>457859</v>
      </c>
      <c r="C66" s="11" t="s">
        <v>97</v>
      </c>
      <c r="D66" s="10" t="s">
        <v>31</v>
      </c>
      <c r="E66" s="10" t="s">
        <v>26</v>
      </c>
      <c r="F66" s="12">
        <v>37364</v>
      </c>
      <c r="G66" s="10" t="s">
        <v>32</v>
      </c>
      <c r="H66" s="10" t="s">
        <v>28</v>
      </c>
      <c r="I66" s="13">
        <f>72+72+78</f>
        <v>222</v>
      </c>
      <c r="J66" s="10">
        <v>300</v>
      </c>
      <c r="K66" s="13">
        <f t="shared" si="0"/>
        <v>74</v>
      </c>
      <c r="L66" s="13">
        <v>74</v>
      </c>
      <c r="M66" s="10">
        <v>100</v>
      </c>
      <c r="N66" s="13">
        <f t="shared" si="1"/>
        <v>74</v>
      </c>
      <c r="O66" s="10" t="s">
        <v>29</v>
      </c>
      <c r="P66" s="10">
        <v>242</v>
      </c>
      <c r="Q66" s="10">
        <v>720</v>
      </c>
      <c r="R66" s="13">
        <f t="shared" si="2"/>
        <v>33.611111111111114</v>
      </c>
      <c r="S66" s="12">
        <v>44594</v>
      </c>
      <c r="T66" s="13">
        <v>70.239999999999995</v>
      </c>
      <c r="U66" s="10">
        <v>4101011205</v>
      </c>
      <c r="V66" s="10" t="s">
        <v>32</v>
      </c>
    </row>
    <row r="67" spans="1:22" ht="31.5" customHeight="1" x14ac:dyDescent="0.25">
      <c r="A67" s="10">
        <v>61</v>
      </c>
      <c r="B67" s="10">
        <v>525967</v>
      </c>
      <c r="C67" s="11" t="s">
        <v>98</v>
      </c>
      <c r="D67" s="10" t="s">
        <v>31</v>
      </c>
      <c r="E67" s="10" t="s">
        <v>26</v>
      </c>
      <c r="F67" s="12">
        <v>37592</v>
      </c>
      <c r="G67" s="10" t="s">
        <v>27</v>
      </c>
      <c r="H67" s="10" t="s">
        <v>55</v>
      </c>
      <c r="I67" s="13">
        <f>67+64+68</f>
        <v>199</v>
      </c>
      <c r="J67" s="10">
        <v>300</v>
      </c>
      <c r="K67" s="13">
        <f t="shared" si="0"/>
        <v>66.333333333333329</v>
      </c>
      <c r="L67" s="13">
        <v>79</v>
      </c>
      <c r="M67" s="10">
        <v>100</v>
      </c>
      <c r="N67" s="13">
        <f t="shared" si="1"/>
        <v>79</v>
      </c>
      <c r="O67" s="10" t="s">
        <v>29</v>
      </c>
      <c r="P67" s="10">
        <v>213</v>
      </c>
      <c r="Q67" s="10">
        <v>720</v>
      </c>
      <c r="R67" s="13">
        <f t="shared" si="2"/>
        <v>29.583333333333332</v>
      </c>
      <c r="S67" s="12">
        <v>44660</v>
      </c>
      <c r="T67" s="13">
        <v>65.849999999999994</v>
      </c>
      <c r="U67" s="10">
        <v>2702114291</v>
      </c>
      <c r="V67" s="10" t="s">
        <v>27</v>
      </c>
    </row>
    <row r="68" spans="1:22" ht="31.5" customHeight="1" x14ac:dyDescent="0.25">
      <c r="A68" s="10">
        <v>62</v>
      </c>
      <c r="B68" s="10">
        <v>456726</v>
      </c>
      <c r="C68" s="11" t="s">
        <v>99</v>
      </c>
      <c r="D68" s="10" t="s">
        <v>25</v>
      </c>
      <c r="E68" s="10" t="s">
        <v>26</v>
      </c>
      <c r="F68" s="12">
        <v>37709</v>
      </c>
      <c r="G68" s="10" t="s">
        <v>27</v>
      </c>
      <c r="H68" s="10" t="s">
        <v>28</v>
      </c>
      <c r="I68" s="13">
        <f>72+63+79</f>
        <v>214</v>
      </c>
      <c r="J68" s="10">
        <v>300</v>
      </c>
      <c r="K68" s="13">
        <f t="shared" si="0"/>
        <v>71.333333333333343</v>
      </c>
      <c r="L68" s="13">
        <v>88</v>
      </c>
      <c r="M68" s="10">
        <v>100</v>
      </c>
      <c r="N68" s="13">
        <f t="shared" si="1"/>
        <v>88</v>
      </c>
      <c r="O68" s="10" t="s">
        <v>29</v>
      </c>
      <c r="P68" s="10">
        <v>243</v>
      </c>
      <c r="Q68" s="10">
        <v>720</v>
      </c>
      <c r="R68" s="13">
        <f t="shared" si="2"/>
        <v>33.75</v>
      </c>
      <c r="S68" s="12">
        <v>44624</v>
      </c>
      <c r="T68" s="13">
        <v>70.38</v>
      </c>
      <c r="U68" s="10">
        <v>4109006698</v>
      </c>
      <c r="V68" s="10" t="s">
        <v>27</v>
      </c>
    </row>
    <row r="69" spans="1:22" ht="31.5" customHeight="1" x14ac:dyDescent="0.25">
      <c r="A69" s="10">
        <v>63</v>
      </c>
      <c r="B69" s="10">
        <v>306588</v>
      </c>
      <c r="C69" s="11" t="s">
        <v>100</v>
      </c>
      <c r="D69" s="10" t="s">
        <v>25</v>
      </c>
      <c r="E69" s="10" t="s">
        <v>26</v>
      </c>
      <c r="F69" s="12">
        <v>37108</v>
      </c>
      <c r="G69" s="10" t="s">
        <v>27</v>
      </c>
      <c r="H69" s="10" t="s">
        <v>28</v>
      </c>
      <c r="I69" s="13">
        <f>74+80+71</f>
        <v>225</v>
      </c>
      <c r="J69" s="10">
        <v>300</v>
      </c>
      <c r="K69" s="13">
        <f t="shared" si="0"/>
        <v>75</v>
      </c>
      <c r="L69" s="13">
        <v>76</v>
      </c>
      <c r="M69" s="10">
        <v>100</v>
      </c>
      <c r="N69" s="13">
        <f t="shared" si="1"/>
        <v>76</v>
      </c>
      <c r="O69" s="10" t="s">
        <v>29</v>
      </c>
      <c r="P69" s="10">
        <v>322</v>
      </c>
      <c r="Q69" s="10">
        <v>720</v>
      </c>
      <c r="R69" s="13">
        <f t="shared" si="2"/>
        <v>44.722222222222221</v>
      </c>
      <c r="S69" s="12">
        <v>44653</v>
      </c>
      <c r="T69" s="13">
        <v>80.06</v>
      </c>
      <c r="U69" s="10">
        <v>4109004958</v>
      </c>
      <c r="V69" s="10" t="s">
        <v>27</v>
      </c>
    </row>
    <row r="70" spans="1:22" ht="31.5" customHeight="1" x14ac:dyDescent="0.25">
      <c r="A70" s="10">
        <v>64</v>
      </c>
      <c r="B70" s="10">
        <v>181633</v>
      </c>
      <c r="C70" s="11" t="s">
        <v>101</v>
      </c>
      <c r="D70" s="10" t="s">
        <v>51</v>
      </c>
      <c r="E70" s="10" t="s">
        <v>26</v>
      </c>
      <c r="F70" s="12">
        <v>37573</v>
      </c>
      <c r="G70" s="10" t="s">
        <v>32</v>
      </c>
      <c r="H70" s="10" t="s">
        <v>44</v>
      </c>
      <c r="I70" s="13">
        <f>72+76+93</f>
        <v>241</v>
      </c>
      <c r="J70" s="10">
        <v>300</v>
      </c>
      <c r="K70" s="13">
        <f t="shared" si="0"/>
        <v>80.333333333333329</v>
      </c>
      <c r="L70" s="13">
        <v>92</v>
      </c>
      <c r="M70" s="10">
        <v>100</v>
      </c>
      <c r="N70" s="13">
        <f t="shared" si="1"/>
        <v>92</v>
      </c>
      <c r="O70" s="10" t="s">
        <v>29</v>
      </c>
      <c r="P70" s="10">
        <v>408</v>
      </c>
      <c r="Q70" s="10">
        <v>720</v>
      </c>
      <c r="R70" s="13">
        <f t="shared" si="2"/>
        <v>56.666666666666664</v>
      </c>
      <c r="S70" s="12">
        <v>44608</v>
      </c>
      <c r="T70" s="13">
        <v>88.16</v>
      </c>
      <c r="U70" s="10">
        <v>4109007377</v>
      </c>
      <c r="V70" s="10" t="s">
        <v>32</v>
      </c>
    </row>
    <row r="71" spans="1:22" ht="31.5" customHeight="1" x14ac:dyDescent="0.25">
      <c r="A71" s="10">
        <v>65</v>
      </c>
      <c r="B71" s="10">
        <v>342927</v>
      </c>
      <c r="C71" s="11" t="s">
        <v>102</v>
      </c>
      <c r="D71" s="10" t="s">
        <v>31</v>
      </c>
      <c r="E71" s="10" t="s">
        <v>26</v>
      </c>
      <c r="F71" s="12">
        <v>37419</v>
      </c>
      <c r="G71" s="10" t="s">
        <v>27</v>
      </c>
      <c r="H71" s="10" t="s">
        <v>28</v>
      </c>
      <c r="I71" s="13">
        <f>66+72+72</f>
        <v>210</v>
      </c>
      <c r="J71" s="10">
        <v>300</v>
      </c>
      <c r="K71" s="13">
        <f t="shared" ref="K71:K134" si="3">I71/J71*100</f>
        <v>70</v>
      </c>
      <c r="L71" s="13">
        <v>80</v>
      </c>
      <c r="M71" s="10">
        <v>100</v>
      </c>
      <c r="N71" s="13">
        <f t="shared" ref="N71:N134" si="4">L71/M71*100</f>
        <v>80</v>
      </c>
      <c r="O71" s="10" t="s">
        <v>29</v>
      </c>
      <c r="P71" s="10">
        <v>301</v>
      </c>
      <c r="Q71" s="10">
        <v>720</v>
      </c>
      <c r="R71" s="13">
        <f t="shared" ref="R71:R134" si="5">P71/Q71*100</f>
        <v>41.805555555555557</v>
      </c>
      <c r="S71" s="12">
        <v>44606</v>
      </c>
      <c r="T71" s="13">
        <v>77.709999999999994</v>
      </c>
      <c r="U71" s="10">
        <v>4116003222</v>
      </c>
      <c r="V71" s="10" t="s">
        <v>27</v>
      </c>
    </row>
    <row r="72" spans="1:22" ht="31.5" customHeight="1" x14ac:dyDescent="0.25">
      <c r="A72" s="10">
        <v>66</v>
      </c>
      <c r="B72" s="10">
        <v>555514</v>
      </c>
      <c r="C72" s="11" t="s">
        <v>103</v>
      </c>
      <c r="D72" s="10" t="s">
        <v>31</v>
      </c>
      <c r="E72" s="10" t="s">
        <v>26</v>
      </c>
      <c r="F72" s="12">
        <v>37033</v>
      </c>
      <c r="G72" s="10" t="s">
        <v>27</v>
      </c>
      <c r="H72" s="10" t="s">
        <v>28</v>
      </c>
      <c r="I72" s="13">
        <f>171+133+139</f>
        <v>443</v>
      </c>
      <c r="J72" s="10">
        <v>600</v>
      </c>
      <c r="K72" s="13">
        <f t="shared" si="3"/>
        <v>73.833333333333329</v>
      </c>
      <c r="L72" s="13">
        <v>187</v>
      </c>
      <c r="M72" s="10">
        <v>200</v>
      </c>
      <c r="N72" s="13">
        <f t="shared" si="4"/>
        <v>93.5</v>
      </c>
      <c r="O72" s="10" t="s">
        <v>29</v>
      </c>
      <c r="P72" s="10">
        <v>201</v>
      </c>
      <c r="Q72" s="10">
        <v>720</v>
      </c>
      <c r="R72" s="13">
        <f t="shared" si="5"/>
        <v>27.916666666666668</v>
      </c>
      <c r="S72" s="12">
        <v>44644</v>
      </c>
      <c r="T72" s="13">
        <v>63.86</v>
      </c>
      <c r="U72" s="10">
        <v>4114002394</v>
      </c>
      <c r="V72" s="10" t="s">
        <v>27</v>
      </c>
    </row>
    <row r="73" spans="1:22" ht="31.5" customHeight="1" x14ac:dyDescent="0.25">
      <c r="A73" s="10">
        <v>67</v>
      </c>
      <c r="B73" s="10">
        <v>149073</v>
      </c>
      <c r="C73" s="11" t="s">
        <v>104</v>
      </c>
      <c r="D73" s="10" t="s">
        <v>25</v>
      </c>
      <c r="E73" s="10" t="s">
        <v>26</v>
      </c>
      <c r="F73" s="12">
        <v>37851</v>
      </c>
      <c r="G73" s="10" t="s">
        <v>27</v>
      </c>
      <c r="H73" s="10" t="s">
        <v>28</v>
      </c>
      <c r="I73" s="13">
        <f>87.57+91.57+91.86</f>
        <v>271</v>
      </c>
      <c r="J73" s="10">
        <v>300</v>
      </c>
      <c r="K73" s="13">
        <f t="shared" si="3"/>
        <v>90.333333333333329</v>
      </c>
      <c r="L73" s="13">
        <v>91.67</v>
      </c>
      <c r="M73" s="10">
        <v>100</v>
      </c>
      <c r="N73" s="13">
        <f t="shared" si="4"/>
        <v>91.67</v>
      </c>
      <c r="O73" s="10" t="s">
        <v>29</v>
      </c>
      <c r="P73" s="10">
        <v>436</v>
      </c>
      <c r="Q73" s="10">
        <v>720</v>
      </c>
      <c r="R73" s="13">
        <f t="shared" si="5"/>
        <v>60.55555555555555</v>
      </c>
      <c r="S73" s="12">
        <v>44624</v>
      </c>
      <c r="T73" s="13">
        <v>90.33</v>
      </c>
      <c r="U73" s="10">
        <v>3701009118</v>
      </c>
      <c r="V73" s="10" t="s">
        <v>27</v>
      </c>
    </row>
    <row r="74" spans="1:22" ht="31.5" customHeight="1" x14ac:dyDescent="0.25">
      <c r="A74" s="10">
        <v>68</v>
      </c>
      <c r="B74" s="10">
        <v>92707</v>
      </c>
      <c r="C74" s="11" t="s">
        <v>105</v>
      </c>
      <c r="D74" s="10" t="s">
        <v>25</v>
      </c>
      <c r="E74" s="10" t="s">
        <v>26</v>
      </c>
      <c r="F74" s="12">
        <v>37510</v>
      </c>
      <c r="G74" s="10" t="s">
        <v>32</v>
      </c>
      <c r="H74" s="10" t="s">
        <v>28</v>
      </c>
      <c r="I74" s="13">
        <f>77+86+79</f>
        <v>242</v>
      </c>
      <c r="J74" s="10">
        <v>300</v>
      </c>
      <c r="K74" s="13">
        <f t="shared" si="3"/>
        <v>80.666666666666657</v>
      </c>
      <c r="L74" s="13">
        <v>69</v>
      </c>
      <c r="M74" s="10">
        <v>100</v>
      </c>
      <c r="N74" s="13">
        <f t="shared" si="4"/>
        <v>69</v>
      </c>
      <c r="O74" s="10" t="s">
        <v>29</v>
      </c>
      <c r="P74" s="10">
        <v>491</v>
      </c>
      <c r="Q74" s="10">
        <v>720</v>
      </c>
      <c r="R74" s="13">
        <f t="shared" si="5"/>
        <v>68.194444444444443</v>
      </c>
      <c r="S74" s="12">
        <v>44613</v>
      </c>
      <c r="T74" s="13">
        <v>93.97</v>
      </c>
      <c r="U74" s="10">
        <v>3701001289</v>
      </c>
      <c r="V74" s="10" t="s">
        <v>32</v>
      </c>
    </row>
    <row r="75" spans="1:22" ht="31.5" customHeight="1" x14ac:dyDescent="0.25">
      <c r="A75" s="10">
        <v>69</v>
      </c>
      <c r="B75" s="10">
        <v>464267</v>
      </c>
      <c r="C75" s="11" t="s">
        <v>106</v>
      </c>
      <c r="D75" s="10" t="s">
        <v>31</v>
      </c>
      <c r="E75" s="10" t="s">
        <v>26</v>
      </c>
      <c r="F75" s="12">
        <v>37309</v>
      </c>
      <c r="G75" s="10" t="s">
        <v>32</v>
      </c>
      <c r="H75" s="10" t="s">
        <v>44</v>
      </c>
      <c r="I75" s="13">
        <f>46+72+61</f>
        <v>179</v>
      </c>
      <c r="J75" s="10">
        <v>300</v>
      </c>
      <c r="K75" s="13">
        <f t="shared" si="3"/>
        <v>59.666666666666671</v>
      </c>
      <c r="L75" s="13">
        <v>51</v>
      </c>
      <c r="M75" s="10">
        <v>100</v>
      </c>
      <c r="N75" s="13">
        <f t="shared" si="4"/>
        <v>51</v>
      </c>
      <c r="O75" s="10" t="s">
        <v>29</v>
      </c>
      <c r="P75" s="10">
        <v>239</v>
      </c>
      <c r="Q75" s="10">
        <v>720</v>
      </c>
      <c r="R75" s="13">
        <f t="shared" si="5"/>
        <v>33.194444444444443</v>
      </c>
      <c r="S75" s="12">
        <v>44594</v>
      </c>
      <c r="T75" s="13">
        <v>69.8</v>
      </c>
      <c r="U75" s="10">
        <v>4108005229</v>
      </c>
      <c r="V75" s="10" t="s">
        <v>32</v>
      </c>
    </row>
    <row r="76" spans="1:22" ht="31.5" customHeight="1" x14ac:dyDescent="0.25">
      <c r="A76" s="10">
        <v>70</v>
      </c>
      <c r="B76" s="10">
        <v>365160</v>
      </c>
      <c r="C76" s="11" t="s">
        <v>107</v>
      </c>
      <c r="D76" s="10" t="s">
        <v>31</v>
      </c>
      <c r="E76" s="10" t="s">
        <v>26</v>
      </c>
      <c r="F76" s="12">
        <v>37498</v>
      </c>
      <c r="G76" s="10" t="s">
        <v>27</v>
      </c>
      <c r="H76" s="10" t="s">
        <v>28</v>
      </c>
      <c r="I76" s="13">
        <f>82+87+96</f>
        <v>265</v>
      </c>
      <c r="J76" s="10">
        <v>300</v>
      </c>
      <c r="K76" s="13">
        <f t="shared" si="3"/>
        <v>88.333333333333329</v>
      </c>
      <c r="L76" s="13">
        <v>88</v>
      </c>
      <c r="M76" s="10">
        <v>100</v>
      </c>
      <c r="N76" s="13">
        <f t="shared" si="4"/>
        <v>88</v>
      </c>
      <c r="O76" s="10" t="s">
        <v>29</v>
      </c>
      <c r="P76" s="10">
        <v>289</v>
      </c>
      <c r="Q76" s="10">
        <v>720</v>
      </c>
      <c r="R76" s="13">
        <f t="shared" si="5"/>
        <v>40.138888888888893</v>
      </c>
      <c r="S76" s="12">
        <v>44664</v>
      </c>
      <c r="T76" s="13">
        <v>76.31</v>
      </c>
      <c r="U76" s="10">
        <v>2702012249</v>
      </c>
      <c r="V76" s="10" t="s">
        <v>27</v>
      </c>
    </row>
    <row r="77" spans="1:22" ht="31.5" customHeight="1" x14ac:dyDescent="0.25">
      <c r="A77" s="10">
        <v>71</v>
      </c>
      <c r="B77" s="10">
        <v>265971</v>
      </c>
      <c r="C77" s="11" t="s">
        <v>108</v>
      </c>
      <c r="D77" s="10" t="s">
        <v>51</v>
      </c>
      <c r="E77" s="10" t="s">
        <v>26</v>
      </c>
      <c r="F77" s="12">
        <v>37537</v>
      </c>
      <c r="G77" s="10" t="s">
        <v>32</v>
      </c>
      <c r="H77" s="10" t="s">
        <v>44</v>
      </c>
      <c r="I77" s="13">
        <f>63+77+64</f>
        <v>204</v>
      </c>
      <c r="J77" s="10">
        <v>300</v>
      </c>
      <c r="K77" s="13">
        <f t="shared" si="3"/>
        <v>68</v>
      </c>
      <c r="L77" s="13">
        <v>78</v>
      </c>
      <c r="M77" s="10">
        <v>100</v>
      </c>
      <c r="N77" s="13">
        <f t="shared" si="4"/>
        <v>78</v>
      </c>
      <c r="O77" s="10" t="s">
        <v>29</v>
      </c>
      <c r="P77" s="10">
        <v>348</v>
      </c>
      <c r="Q77" s="10">
        <v>720</v>
      </c>
      <c r="R77" s="13">
        <f t="shared" si="5"/>
        <v>48.333333333333336</v>
      </c>
      <c r="S77" s="12">
        <v>44610</v>
      </c>
      <c r="T77" s="13">
        <v>82.75</v>
      </c>
      <c r="U77" s="10">
        <v>4109005482</v>
      </c>
      <c r="V77" s="10" t="s">
        <v>32</v>
      </c>
    </row>
    <row r="78" spans="1:22" ht="31.5" customHeight="1" x14ac:dyDescent="0.25">
      <c r="A78" s="10">
        <v>72</v>
      </c>
      <c r="B78" s="10">
        <v>61923</v>
      </c>
      <c r="C78" s="11" t="s">
        <v>109</v>
      </c>
      <c r="D78" s="10" t="s">
        <v>31</v>
      </c>
      <c r="E78" s="10" t="s">
        <v>66</v>
      </c>
      <c r="F78" s="12">
        <v>37040</v>
      </c>
      <c r="G78" s="10" t="s">
        <v>32</v>
      </c>
      <c r="H78" s="10" t="s">
        <v>28</v>
      </c>
      <c r="I78" s="13">
        <f>83+82+95</f>
        <v>260</v>
      </c>
      <c r="J78" s="10">
        <v>300</v>
      </c>
      <c r="K78" s="13">
        <f t="shared" si="3"/>
        <v>86.666666666666671</v>
      </c>
      <c r="L78" s="13">
        <v>79</v>
      </c>
      <c r="M78" s="10">
        <v>100</v>
      </c>
      <c r="N78" s="13">
        <f t="shared" si="4"/>
        <v>79</v>
      </c>
      <c r="O78" s="10" t="s">
        <v>29</v>
      </c>
      <c r="P78" s="10">
        <v>528</v>
      </c>
      <c r="Q78" s="10">
        <v>720</v>
      </c>
      <c r="R78" s="13">
        <f t="shared" si="5"/>
        <v>73.333333333333329</v>
      </c>
      <c r="S78" s="12">
        <v>44641</v>
      </c>
      <c r="T78" s="13">
        <v>95.96</v>
      </c>
      <c r="U78" s="10">
        <v>4108004054</v>
      </c>
      <c r="V78" s="10" t="s">
        <v>32</v>
      </c>
    </row>
    <row r="79" spans="1:22" ht="31.5" customHeight="1" x14ac:dyDescent="0.25">
      <c r="A79" s="10">
        <v>73</v>
      </c>
      <c r="B79" s="10">
        <v>85328</v>
      </c>
      <c r="C79" s="11" t="s">
        <v>110</v>
      </c>
      <c r="D79" s="10" t="s">
        <v>25</v>
      </c>
      <c r="E79" s="10" t="s">
        <v>26</v>
      </c>
      <c r="F79" s="12">
        <v>37818</v>
      </c>
      <c r="G79" s="10" t="s">
        <v>32</v>
      </c>
      <c r="H79" s="10" t="s">
        <v>28</v>
      </c>
      <c r="I79" s="13">
        <f>84+86+94</f>
        <v>264</v>
      </c>
      <c r="J79" s="10">
        <v>300</v>
      </c>
      <c r="K79" s="13">
        <f t="shared" si="3"/>
        <v>88</v>
      </c>
      <c r="L79" s="13">
        <v>91</v>
      </c>
      <c r="M79" s="10">
        <v>100</v>
      </c>
      <c r="N79" s="13">
        <f t="shared" si="4"/>
        <v>91</v>
      </c>
      <c r="O79" s="10" t="s">
        <v>29</v>
      </c>
      <c r="P79" s="10">
        <v>499</v>
      </c>
      <c r="Q79" s="10">
        <v>720</v>
      </c>
      <c r="R79" s="13">
        <f t="shared" si="5"/>
        <v>69.305555555555557</v>
      </c>
      <c r="S79" s="12">
        <v>44608</v>
      </c>
      <c r="T79" s="13">
        <v>94.44</v>
      </c>
      <c r="U79" s="10">
        <v>4106014249</v>
      </c>
      <c r="V79" s="10" t="s">
        <v>32</v>
      </c>
    </row>
    <row r="80" spans="1:22" ht="31.5" customHeight="1" x14ac:dyDescent="0.25">
      <c r="A80" s="10">
        <v>74</v>
      </c>
      <c r="B80" s="10">
        <v>81774</v>
      </c>
      <c r="C80" s="11" t="s">
        <v>111</v>
      </c>
      <c r="D80" s="10" t="s">
        <v>25</v>
      </c>
      <c r="E80" s="10" t="s">
        <v>26</v>
      </c>
      <c r="F80" s="12">
        <v>37302</v>
      </c>
      <c r="G80" s="10" t="s">
        <v>32</v>
      </c>
      <c r="H80" s="10" t="s">
        <v>28</v>
      </c>
      <c r="I80" s="13">
        <f>79+68+79</f>
        <v>226</v>
      </c>
      <c r="J80" s="10">
        <v>300</v>
      </c>
      <c r="K80" s="13">
        <f t="shared" si="3"/>
        <v>75.333333333333329</v>
      </c>
      <c r="L80" s="13">
        <v>81</v>
      </c>
      <c r="M80" s="10">
        <v>100</v>
      </c>
      <c r="N80" s="13">
        <f t="shared" si="4"/>
        <v>81</v>
      </c>
      <c r="O80" s="10" t="s">
        <v>29</v>
      </c>
      <c r="P80" s="10">
        <v>503</v>
      </c>
      <c r="Q80" s="10">
        <v>720</v>
      </c>
      <c r="R80" s="13">
        <f t="shared" si="5"/>
        <v>69.861111111111114</v>
      </c>
      <c r="S80" s="12">
        <v>44608</v>
      </c>
      <c r="T80" s="13">
        <v>94.66</v>
      </c>
      <c r="U80" s="10">
        <v>4112012237</v>
      </c>
      <c r="V80" s="10" t="s">
        <v>32</v>
      </c>
    </row>
    <row r="81" spans="1:22" ht="31.5" customHeight="1" x14ac:dyDescent="0.25">
      <c r="A81" s="10">
        <v>75</v>
      </c>
      <c r="B81" s="10">
        <v>70603</v>
      </c>
      <c r="C81" s="11" t="s">
        <v>112</v>
      </c>
      <c r="D81" s="10" t="s">
        <v>31</v>
      </c>
      <c r="E81" s="10" t="s">
        <v>66</v>
      </c>
      <c r="F81" s="12">
        <v>37561</v>
      </c>
      <c r="G81" s="10" t="s">
        <v>32</v>
      </c>
      <c r="H81" s="10" t="s">
        <v>28</v>
      </c>
      <c r="I81" s="13">
        <f>88+99+91</f>
        <v>278</v>
      </c>
      <c r="J81" s="10">
        <v>300</v>
      </c>
      <c r="K81" s="13">
        <f t="shared" si="3"/>
        <v>92.666666666666657</v>
      </c>
      <c r="L81" s="13">
        <v>98</v>
      </c>
      <c r="M81" s="10">
        <v>100</v>
      </c>
      <c r="N81" s="13">
        <f t="shared" si="4"/>
        <v>98</v>
      </c>
      <c r="O81" s="10" t="s">
        <v>113</v>
      </c>
      <c r="P81" s="10">
        <v>517</v>
      </c>
      <c r="Q81" s="10">
        <v>720</v>
      </c>
      <c r="R81" s="13">
        <f t="shared" si="5"/>
        <v>71.805555555555557</v>
      </c>
      <c r="S81" s="12">
        <v>44608</v>
      </c>
      <c r="T81" s="13">
        <v>95.41</v>
      </c>
      <c r="U81" s="10">
        <v>4108006229</v>
      </c>
      <c r="V81" s="10" t="s">
        <v>32</v>
      </c>
    </row>
    <row r="82" spans="1:22" ht="31.5" customHeight="1" x14ac:dyDescent="0.25">
      <c r="A82" s="10">
        <v>76</v>
      </c>
      <c r="B82" s="10">
        <v>551834</v>
      </c>
      <c r="C82" s="11" t="s">
        <v>114</v>
      </c>
      <c r="D82" s="10" t="s">
        <v>31</v>
      </c>
      <c r="E82" s="10" t="s">
        <v>26</v>
      </c>
      <c r="F82" s="12">
        <v>37834</v>
      </c>
      <c r="G82" s="10" t="s">
        <v>27</v>
      </c>
      <c r="H82" s="10" t="s">
        <v>48</v>
      </c>
      <c r="I82" s="13">
        <f>96.67+96.38+94.96</f>
        <v>288.01</v>
      </c>
      <c r="J82" s="10">
        <v>300</v>
      </c>
      <c r="K82" s="13">
        <f t="shared" si="3"/>
        <v>96.00333333333333</v>
      </c>
      <c r="L82" s="13">
        <v>95.34</v>
      </c>
      <c r="M82" s="10">
        <v>100</v>
      </c>
      <c r="N82" s="13">
        <f t="shared" si="4"/>
        <v>95.34</v>
      </c>
      <c r="O82" s="10" t="s">
        <v>29</v>
      </c>
      <c r="P82" s="10">
        <v>203</v>
      </c>
      <c r="Q82" s="10">
        <v>720</v>
      </c>
      <c r="R82" s="13">
        <f t="shared" si="5"/>
        <v>28.194444444444443</v>
      </c>
      <c r="S82" s="12">
        <v>44624</v>
      </c>
      <c r="T82" s="13">
        <v>64.19</v>
      </c>
      <c r="U82" s="10">
        <v>4114002607</v>
      </c>
      <c r="V82" s="10" t="s">
        <v>27</v>
      </c>
    </row>
    <row r="83" spans="1:22" ht="31.5" customHeight="1" x14ac:dyDescent="0.25">
      <c r="A83" s="10">
        <v>77</v>
      </c>
      <c r="B83" s="10">
        <v>253030</v>
      </c>
      <c r="C83" s="11" t="s">
        <v>115</v>
      </c>
      <c r="D83" s="10" t="s">
        <v>31</v>
      </c>
      <c r="E83" s="10" t="s">
        <v>26</v>
      </c>
      <c r="F83" s="12">
        <v>36883</v>
      </c>
      <c r="G83" s="10" t="s">
        <v>27</v>
      </c>
      <c r="H83" s="10" t="s">
        <v>28</v>
      </c>
      <c r="I83" s="13">
        <f>141+102+103</f>
        <v>346</v>
      </c>
      <c r="J83" s="10">
        <v>600</v>
      </c>
      <c r="K83" s="13">
        <f t="shared" si="3"/>
        <v>57.666666666666664</v>
      </c>
      <c r="L83" s="13">
        <v>182</v>
      </c>
      <c r="M83" s="10">
        <v>200</v>
      </c>
      <c r="N83" s="13">
        <f t="shared" si="4"/>
        <v>91</v>
      </c>
      <c r="O83" s="10" t="s">
        <v>29</v>
      </c>
      <c r="P83" s="10">
        <v>356</v>
      </c>
      <c r="Q83" s="10">
        <v>720</v>
      </c>
      <c r="R83" s="13">
        <f t="shared" si="5"/>
        <v>49.444444444444443</v>
      </c>
      <c r="S83" s="12">
        <v>44652</v>
      </c>
      <c r="T83" s="13">
        <v>83.53</v>
      </c>
      <c r="U83" s="10">
        <v>4114001378</v>
      </c>
      <c r="V83" s="10" t="s">
        <v>27</v>
      </c>
    </row>
    <row r="84" spans="1:22" ht="31.5" customHeight="1" x14ac:dyDescent="0.25">
      <c r="A84" s="10">
        <v>78</v>
      </c>
      <c r="B84" s="10">
        <v>69724</v>
      </c>
      <c r="C84" s="11" t="s">
        <v>116</v>
      </c>
      <c r="D84" s="10" t="s">
        <v>25</v>
      </c>
      <c r="E84" s="10" t="s">
        <v>26</v>
      </c>
      <c r="F84" s="12">
        <v>37621</v>
      </c>
      <c r="G84" s="10" t="s">
        <v>32</v>
      </c>
      <c r="H84" s="10" t="s">
        <v>28</v>
      </c>
      <c r="I84" s="13">
        <f>68+77+85</f>
        <v>230</v>
      </c>
      <c r="J84" s="10">
        <v>300</v>
      </c>
      <c r="K84" s="13">
        <f t="shared" si="3"/>
        <v>76.666666666666671</v>
      </c>
      <c r="L84" s="13">
        <v>78</v>
      </c>
      <c r="M84" s="10">
        <v>100</v>
      </c>
      <c r="N84" s="13">
        <f t="shared" si="4"/>
        <v>78</v>
      </c>
      <c r="O84" s="10" t="s">
        <v>29</v>
      </c>
      <c r="P84" s="10">
        <v>518</v>
      </c>
      <c r="Q84" s="10">
        <v>720</v>
      </c>
      <c r="R84" s="13">
        <f t="shared" si="5"/>
        <v>71.944444444444443</v>
      </c>
      <c r="S84" s="12">
        <v>44608</v>
      </c>
      <c r="T84" s="13">
        <v>95.46</v>
      </c>
      <c r="U84" s="10">
        <v>4112009250</v>
      </c>
      <c r="V84" s="10" t="s">
        <v>32</v>
      </c>
    </row>
    <row r="85" spans="1:22" ht="31.5" customHeight="1" x14ac:dyDescent="0.25">
      <c r="A85" s="10">
        <v>79</v>
      </c>
      <c r="B85" s="10">
        <v>307426</v>
      </c>
      <c r="C85" s="11" t="s">
        <v>117</v>
      </c>
      <c r="D85" s="10" t="s">
        <v>31</v>
      </c>
      <c r="E85" s="10" t="s">
        <v>26</v>
      </c>
      <c r="F85" s="12">
        <v>37539</v>
      </c>
      <c r="G85" s="10" t="s">
        <v>27</v>
      </c>
      <c r="H85" s="10" t="s">
        <v>28</v>
      </c>
      <c r="I85" s="13">
        <f>72+83+80</f>
        <v>235</v>
      </c>
      <c r="J85" s="10">
        <v>300</v>
      </c>
      <c r="K85" s="13">
        <f t="shared" si="3"/>
        <v>78.333333333333329</v>
      </c>
      <c r="L85" s="13">
        <v>94</v>
      </c>
      <c r="M85" s="10">
        <v>100</v>
      </c>
      <c r="N85" s="13">
        <f t="shared" si="4"/>
        <v>94</v>
      </c>
      <c r="O85" s="10" t="s">
        <v>29</v>
      </c>
      <c r="P85" s="10">
        <v>322</v>
      </c>
      <c r="Q85" s="10">
        <v>720</v>
      </c>
      <c r="R85" s="13">
        <f t="shared" si="5"/>
        <v>44.722222222222221</v>
      </c>
      <c r="S85" s="12">
        <v>44624</v>
      </c>
      <c r="T85" s="13">
        <v>80.06</v>
      </c>
      <c r="U85" s="10">
        <v>4101102916</v>
      </c>
      <c r="V85" s="10" t="s">
        <v>27</v>
      </c>
    </row>
    <row r="86" spans="1:22" ht="31.5" customHeight="1" x14ac:dyDescent="0.25">
      <c r="A86" s="10">
        <v>80</v>
      </c>
      <c r="B86" s="10">
        <v>278005</v>
      </c>
      <c r="C86" s="11" t="s">
        <v>118</v>
      </c>
      <c r="D86" s="10" t="s">
        <v>31</v>
      </c>
      <c r="E86" s="10" t="s">
        <v>26</v>
      </c>
      <c r="F86" s="12">
        <v>36828</v>
      </c>
      <c r="G86" s="10" t="s">
        <v>27</v>
      </c>
      <c r="H86" s="10" t="s">
        <v>28</v>
      </c>
      <c r="I86" s="13">
        <f>148+157+158</f>
        <v>463</v>
      </c>
      <c r="J86" s="10">
        <v>600</v>
      </c>
      <c r="K86" s="13">
        <f t="shared" si="3"/>
        <v>77.166666666666657</v>
      </c>
      <c r="L86" s="13">
        <v>182</v>
      </c>
      <c r="M86" s="10">
        <v>200</v>
      </c>
      <c r="N86" s="13">
        <f t="shared" si="4"/>
        <v>91</v>
      </c>
      <c r="O86" s="10" t="s">
        <v>29</v>
      </c>
      <c r="P86" s="10">
        <v>340</v>
      </c>
      <c r="Q86" s="10">
        <v>720</v>
      </c>
      <c r="R86" s="13">
        <f t="shared" si="5"/>
        <v>47.222222222222221</v>
      </c>
      <c r="S86" s="12">
        <v>44644</v>
      </c>
      <c r="T86" s="13">
        <v>81.94</v>
      </c>
      <c r="U86" s="10">
        <v>4101101720</v>
      </c>
      <c r="V86" s="10" t="s">
        <v>27</v>
      </c>
    </row>
    <row r="87" spans="1:22" ht="31.5" customHeight="1" x14ac:dyDescent="0.25">
      <c r="A87" s="10">
        <v>81</v>
      </c>
      <c r="B87" s="10">
        <v>889298</v>
      </c>
      <c r="C87" s="11" t="s">
        <v>119</v>
      </c>
      <c r="D87" s="10" t="s">
        <v>31</v>
      </c>
      <c r="E87" s="10" t="s">
        <v>26</v>
      </c>
      <c r="F87" s="12">
        <v>37942</v>
      </c>
      <c r="G87" s="10" t="s">
        <v>27</v>
      </c>
      <c r="H87" s="10" t="s">
        <v>55</v>
      </c>
      <c r="I87" s="13">
        <f>85+80+87</f>
        <v>252</v>
      </c>
      <c r="J87" s="10">
        <v>300</v>
      </c>
      <c r="K87" s="13">
        <f t="shared" si="3"/>
        <v>84</v>
      </c>
      <c r="L87" s="13">
        <v>80</v>
      </c>
      <c r="M87" s="10">
        <v>100</v>
      </c>
      <c r="N87" s="13">
        <f t="shared" si="4"/>
        <v>80</v>
      </c>
      <c r="O87" s="10" t="s">
        <v>29</v>
      </c>
      <c r="P87" s="10">
        <v>114</v>
      </c>
      <c r="Q87" s="10">
        <v>720</v>
      </c>
      <c r="R87" s="13">
        <f t="shared" si="5"/>
        <v>15.833333333333332</v>
      </c>
      <c r="S87" s="12">
        <v>44624</v>
      </c>
      <c r="T87" s="13">
        <v>42.32</v>
      </c>
      <c r="U87" s="10">
        <v>4101012432</v>
      </c>
      <c r="V87" s="10" t="s">
        <v>27</v>
      </c>
    </row>
    <row r="88" spans="1:22" ht="31.5" customHeight="1" x14ac:dyDescent="0.25">
      <c r="A88" s="10">
        <v>82</v>
      </c>
      <c r="B88" s="10">
        <v>489805</v>
      </c>
      <c r="C88" s="11" t="s">
        <v>120</v>
      </c>
      <c r="D88" s="10" t="s">
        <v>31</v>
      </c>
      <c r="E88" s="10" t="s">
        <v>26</v>
      </c>
      <c r="F88" s="12">
        <v>37705</v>
      </c>
      <c r="G88" s="10" t="s">
        <v>27</v>
      </c>
      <c r="H88" s="10" t="s">
        <v>28</v>
      </c>
      <c r="I88" s="13">
        <f>84+83+95</f>
        <v>262</v>
      </c>
      <c r="J88" s="10">
        <v>300</v>
      </c>
      <c r="K88" s="13">
        <f t="shared" si="3"/>
        <v>87.333333333333329</v>
      </c>
      <c r="L88" s="13">
        <v>93</v>
      </c>
      <c r="M88" s="10">
        <v>100</v>
      </c>
      <c r="N88" s="13">
        <f t="shared" si="4"/>
        <v>93</v>
      </c>
      <c r="O88" s="10" t="s">
        <v>29</v>
      </c>
      <c r="P88" s="10">
        <v>228</v>
      </c>
      <c r="Q88" s="10">
        <v>720</v>
      </c>
      <c r="R88" s="13">
        <f t="shared" si="5"/>
        <v>31.666666666666664</v>
      </c>
      <c r="S88" s="12">
        <v>44625</v>
      </c>
      <c r="T88" s="13">
        <v>68.19</v>
      </c>
      <c r="U88" s="10">
        <v>4102002553</v>
      </c>
      <c r="V88" s="10" t="s">
        <v>27</v>
      </c>
    </row>
    <row r="89" spans="1:22" ht="31.5" customHeight="1" x14ac:dyDescent="0.25">
      <c r="A89" s="10">
        <v>83</v>
      </c>
      <c r="B89" s="10">
        <v>353488</v>
      </c>
      <c r="C89" s="11" t="s">
        <v>121</v>
      </c>
      <c r="D89" s="10" t="s">
        <v>31</v>
      </c>
      <c r="E89" s="10" t="s">
        <v>26</v>
      </c>
      <c r="F89" s="12">
        <v>37706</v>
      </c>
      <c r="G89" s="10" t="s">
        <v>27</v>
      </c>
      <c r="H89" s="10" t="s">
        <v>28</v>
      </c>
      <c r="I89" s="13">
        <f>59+59+59</f>
        <v>177</v>
      </c>
      <c r="J89" s="10">
        <v>300</v>
      </c>
      <c r="K89" s="13">
        <f t="shared" si="3"/>
        <v>59</v>
      </c>
      <c r="L89" s="13">
        <v>82</v>
      </c>
      <c r="M89" s="10">
        <v>100</v>
      </c>
      <c r="N89" s="13">
        <f t="shared" si="4"/>
        <v>82</v>
      </c>
      <c r="O89" s="10" t="s">
        <v>29</v>
      </c>
      <c r="P89" s="10">
        <v>295</v>
      </c>
      <c r="Q89" s="10">
        <v>720</v>
      </c>
      <c r="R89" s="13">
        <f t="shared" si="5"/>
        <v>40.972222222222221</v>
      </c>
      <c r="S89" s="12">
        <v>44624</v>
      </c>
      <c r="T89" s="13">
        <v>77.02</v>
      </c>
      <c r="U89" s="10">
        <v>4109009595</v>
      </c>
      <c r="V89" s="10" t="s">
        <v>27</v>
      </c>
    </row>
    <row r="90" spans="1:22" ht="31.5" customHeight="1" x14ac:dyDescent="0.25">
      <c r="A90" s="10">
        <v>84</v>
      </c>
      <c r="B90" s="10">
        <v>90058</v>
      </c>
      <c r="C90" s="11" t="s">
        <v>122</v>
      </c>
      <c r="D90" s="10" t="s">
        <v>25</v>
      </c>
      <c r="E90" s="10" t="s">
        <v>26</v>
      </c>
      <c r="F90" s="12">
        <v>37898</v>
      </c>
      <c r="G90" s="10" t="s">
        <v>32</v>
      </c>
      <c r="H90" s="10" t="s">
        <v>28</v>
      </c>
      <c r="I90" s="13">
        <f>78+87+84</f>
        <v>249</v>
      </c>
      <c r="J90" s="10">
        <v>300</v>
      </c>
      <c r="K90" s="13">
        <f t="shared" si="3"/>
        <v>83</v>
      </c>
      <c r="L90" s="13">
        <v>88</v>
      </c>
      <c r="M90" s="10">
        <v>100</v>
      </c>
      <c r="N90" s="13">
        <f t="shared" si="4"/>
        <v>88</v>
      </c>
      <c r="O90" s="10" t="s">
        <v>29</v>
      </c>
      <c r="P90" s="10">
        <v>494</v>
      </c>
      <c r="Q90" s="10">
        <v>720</v>
      </c>
      <c r="R90" s="13">
        <f t="shared" si="5"/>
        <v>68.611111111111114</v>
      </c>
      <c r="S90" s="12">
        <v>44606</v>
      </c>
      <c r="T90" s="13">
        <v>94.15</v>
      </c>
      <c r="U90" s="10">
        <v>4118001174</v>
      </c>
      <c r="V90" s="10" t="s">
        <v>32</v>
      </c>
    </row>
    <row r="91" spans="1:22" ht="31.5" customHeight="1" x14ac:dyDescent="0.25">
      <c r="A91" s="10">
        <v>85</v>
      </c>
      <c r="B91" s="10">
        <v>254888</v>
      </c>
      <c r="C91" s="11" t="s">
        <v>123</v>
      </c>
      <c r="D91" s="10" t="s">
        <v>31</v>
      </c>
      <c r="E91" s="10" t="s">
        <v>26</v>
      </c>
      <c r="F91" s="12">
        <v>37267</v>
      </c>
      <c r="G91" s="10" t="s">
        <v>27</v>
      </c>
      <c r="H91" s="10" t="s">
        <v>28</v>
      </c>
      <c r="I91" s="13">
        <f>74+68+80</f>
        <v>222</v>
      </c>
      <c r="J91" s="10">
        <v>300</v>
      </c>
      <c r="K91" s="13">
        <f t="shared" si="3"/>
        <v>74</v>
      </c>
      <c r="L91" s="13">
        <v>80</v>
      </c>
      <c r="M91" s="10">
        <v>100</v>
      </c>
      <c r="N91" s="13">
        <f t="shared" si="4"/>
        <v>80</v>
      </c>
      <c r="O91" s="10" t="s">
        <v>29</v>
      </c>
      <c r="P91" s="10">
        <v>355</v>
      </c>
      <c r="Q91" s="10">
        <v>720</v>
      </c>
      <c r="R91" s="13">
        <f t="shared" si="5"/>
        <v>49.305555555555557</v>
      </c>
      <c r="S91" s="12">
        <v>44644</v>
      </c>
      <c r="T91" s="13">
        <v>83.43</v>
      </c>
      <c r="U91" s="10">
        <v>4109019309</v>
      </c>
      <c r="V91" s="10" t="s">
        <v>27</v>
      </c>
    </row>
    <row r="92" spans="1:22" ht="31.5" customHeight="1" x14ac:dyDescent="0.25">
      <c r="A92" s="10">
        <v>86</v>
      </c>
      <c r="B92" s="10">
        <v>70575</v>
      </c>
      <c r="C92" s="11" t="s">
        <v>124</v>
      </c>
      <c r="D92" s="10" t="s">
        <v>31</v>
      </c>
      <c r="E92" s="10" t="s">
        <v>26</v>
      </c>
      <c r="F92" s="12">
        <v>37618</v>
      </c>
      <c r="G92" s="10" t="s">
        <v>32</v>
      </c>
      <c r="H92" s="10" t="s">
        <v>28</v>
      </c>
      <c r="I92" s="13">
        <f>95+94+88</f>
        <v>277</v>
      </c>
      <c r="J92" s="10">
        <v>300</v>
      </c>
      <c r="K92" s="13">
        <f t="shared" si="3"/>
        <v>92.333333333333329</v>
      </c>
      <c r="L92" s="13">
        <v>92</v>
      </c>
      <c r="M92" s="10">
        <v>100</v>
      </c>
      <c r="N92" s="13">
        <f t="shared" si="4"/>
        <v>92</v>
      </c>
      <c r="O92" s="10" t="s">
        <v>29</v>
      </c>
      <c r="P92" s="10">
        <v>517</v>
      </c>
      <c r="Q92" s="10">
        <v>720</v>
      </c>
      <c r="R92" s="13">
        <f t="shared" si="5"/>
        <v>71.805555555555557</v>
      </c>
      <c r="S92" s="12">
        <v>44610</v>
      </c>
      <c r="T92" s="13">
        <v>95.41</v>
      </c>
      <c r="U92" s="10">
        <v>4111001029</v>
      </c>
      <c r="V92" s="10" t="s">
        <v>32</v>
      </c>
    </row>
    <row r="93" spans="1:22" ht="31.5" customHeight="1" x14ac:dyDescent="0.25">
      <c r="A93" s="10">
        <v>87</v>
      </c>
      <c r="B93" s="10">
        <v>369768</v>
      </c>
      <c r="C93" s="11" t="s">
        <v>125</v>
      </c>
      <c r="D93" s="10" t="s">
        <v>31</v>
      </c>
      <c r="E93" s="10" t="s">
        <v>26</v>
      </c>
      <c r="F93" s="12">
        <v>37678</v>
      </c>
      <c r="G93" s="10" t="s">
        <v>27</v>
      </c>
      <c r="H93" s="10" t="s">
        <v>44</v>
      </c>
      <c r="I93" s="13">
        <f>86+85+95</f>
        <v>266</v>
      </c>
      <c r="J93" s="10">
        <v>300</v>
      </c>
      <c r="K93" s="13">
        <f t="shared" si="3"/>
        <v>88.666666666666671</v>
      </c>
      <c r="L93" s="13">
        <v>95</v>
      </c>
      <c r="M93" s="10">
        <v>100</v>
      </c>
      <c r="N93" s="13">
        <f t="shared" si="4"/>
        <v>95</v>
      </c>
      <c r="O93" s="10" t="s">
        <v>29</v>
      </c>
      <c r="P93" s="10">
        <v>286</v>
      </c>
      <c r="Q93" s="10">
        <v>720</v>
      </c>
      <c r="R93" s="13">
        <f t="shared" si="5"/>
        <v>39.722222222222221</v>
      </c>
      <c r="S93" s="12">
        <v>44624</v>
      </c>
      <c r="T93" s="13">
        <v>75.95</v>
      </c>
      <c r="U93" s="10">
        <v>4101004299</v>
      </c>
      <c r="V93" s="10" t="s">
        <v>27</v>
      </c>
    </row>
    <row r="94" spans="1:22" ht="31.5" customHeight="1" x14ac:dyDescent="0.25">
      <c r="A94" s="10">
        <v>88</v>
      </c>
      <c r="B94" s="10">
        <v>183471</v>
      </c>
      <c r="C94" s="11" t="s">
        <v>126</v>
      </c>
      <c r="D94" s="10" t="s">
        <v>127</v>
      </c>
      <c r="E94" s="10" t="s">
        <v>26</v>
      </c>
      <c r="F94" s="12">
        <v>37159</v>
      </c>
      <c r="G94" s="10" t="s">
        <v>32</v>
      </c>
      <c r="H94" s="10" t="s">
        <v>44</v>
      </c>
      <c r="I94" s="13">
        <f>60+61+77</f>
        <v>198</v>
      </c>
      <c r="J94" s="10">
        <v>300</v>
      </c>
      <c r="K94" s="13">
        <f t="shared" si="3"/>
        <v>66</v>
      </c>
      <c r="L94" s="13">
        <v>82</v>
      </c>
      <c r="M94" s="10">
        <v>100</v>
      </c>
      <c r="N94" s="13">
        <f t="shared" si="4"/>
        <v>82</v>
      </c>
      <c r="O94" s="10" t="s">
        <v>29</v>
      </c>
      <c r="P94" s="10">
        <v>407</v>
      </c>
      <c r="Q94" s="10">
        <v>720</v>
      </c>
      <c r="R94" s="13">
        <f t="shared" si="5"/>
        <v>56.527777777777779</v>
      </c>
      <c r="S94" s="12">
        <v>44610</v>
      </c>
      <c r="T94" s="13">
        <v>88.08</v>
      </c>
      <c r="U94" s="10">
        <v>4101101792</v>
      </c>
      <c r="V94" s="10" t="s">
        <v>32</v>
      </c>
    </row>
    <row r="95" spans="1:22" ht="31.5" customHeight="1" x14ac:dyDescent="0.25">
      <c r="A95" s="10">
        <v>89</v>
      </c>
      <c r="B95" s="10">
        <v>69428</v>
      </c>
      <c r="C95" s="11" t="s">
        <v>128</v>
      </c>
      <c r="D95" s="10" t="s">
        <v>51</v>
      </c>
      <c r="E95" s="10" t="s">
        <v>26</v>
      </c>
      <c r="F95" s="12">
        <v>37153</v>
      </c>
      <c r="G95" s="10" t="s">
        <v>32</v>
      </c>
      <c r="H95" s="10" t="s">
        <v>28</v>
      </c>
      <c r="I95" s="13">
        <f>81+88+91</f>
        <v>260</v>
      </c>
      <c r="J95" s="10">
        <v>300</v>
      </c>
      <c r="K95" s="13">
        <f t="shared" si="3"/>
        <v>86.666666666666671</v>
      </c>
      <c r="L95" s="13">
        <v>88</v>
      </c>
      <c r="M95" s="10">
        <v>100</v>
      </c>
      <c r="N95" s="13">
        <f t="shared" si="4"/>
        <v>88</v>
      </c>
      <c r="O95" s="10" t="s">
        <v>113</v>
      </c>
      <c r="P95" s="10">
        <v>518</v>
      </c>
      <c r="Q95" s="10">
        <v>720</v>
      </c>
      <c r="R95" s="13">
        <f t="shared" si="5"/>
        <v>71.944444444444443</v>
      </c>
      <c r="S95" s="12">
        <v>44607</v>
      </c>
      <c r="T95" s="13">
        <v>95.46</v>
      </c>
      <c r="U95" s="10">
        <v>4101003121</v>
      </c>
      <c r="V95" s="10" t="s">
        <v>32</v>
      </c>
    </row>
    <row r="96" spans="1:22" ht="31.5" customHeight="1" x14ac:dyDescent="0.25">
      <c r="A96" s="10">
        <v>90</v>
      </c>
      <c r="B96" s="10">
        <v>838652</v>
      </c>
      <c r="C96" s="11" t="s">
        <v>129</v>
      </c>
      <c r="D96" s="10" t="s">
        <v>31</v>
      </c>
      <c r="E96" s="10" t="s">
        <v>26</v>
      </c>
      <c r="F96" s="12">
        <v>37515</v>
      </c>
      <c r="G96" s="10" t="s">
        <v>27</v>
      </c>
      <c r="H96" s="10" t="s">
        <v>44</v>
      </c>
      <c r="I96" s="13">
        <f>51+45+64</f>
        <v>160</v>
      </c>
      <c r="J96" s="10">
        <v>300</v>
      </c>
      <c r="K96" s="13">
        <f t="shared" si="3"/>
        <v>53.333333333333336</v>
      </c>
      <c r="L96" s="13">
        <v>68</v>
      </c>
      <c r="M96" s="10">
        <v>100</v>
      </c>
      <c r="N96" s="13">
        <f t="shared" si="4"/>
        <v>68</v>
      </c>
      <c r="O96" s="10" t="s">
        <v>29</v>
      </c>
      <c r="P96" s="10">
        <v>123</v>
      </c>
      <c r="Q96" s="10">
        <v>720</v>
      </c>
      <c r="R96" s="13">
        <f t="shared" si="5"/>
        <v>17.083333333333332</v>
      </c>
      <c r="S96" s="12">
        <v>44663</v>
      </c>
      <c r="T96" s="13">
        <v>45.49</v>
      </c>
      <c r="U96" s="10">
        <v>4106014079</v>
      </c>
      <c r="V96" s="10" t="s">
        <v>27</v>
      </c>
    </row>
    <row r="97" spans="1:22" ht="31.5" customHeight="1" x14ac:dyDescent="0.25">
      <c r="A97" s="10">
        <v>91</v>
      </c>
      <c r="B97" s="10">
        <v>93365</v>
      </c>
      <c r="C97" s="11" t="s">
        <v>130</v>
      </c>
      <c r="D97" s="10" t="s">
        <v>51</v>
      </c>
      <c r="E97" s="10" t="s">
        <v>26</v>
      </c>
      <c r="F97" s="12">
        <v>37284</v>
      </c>
      <c r="G97" s="10" t="s">
        <v>32</v>
      </c>
      <c r="H97" s="10" t="s">
        <v>28</v>
      </c>
      <c r="I97" s="13">
        <f>77+78+66</f>
        <v>221</v>
      </c>
      <c r="J97" s="10">
        <v>300</v>
      </c>
      <c r="K97" s="13">
        <f t="shared" si="3"/>
        <v>73.666666666666671</v>
      </c>
      <c r="L97" s="13">
        <v>90</v>
      </c>
      <c r="M97" s="10">
        <v>100</v>
      </c>
      <c r="N97" s="13">
        <f t="shared" si="4"/>
        <v>90</v>
      </c>
      <c r="O97" s="10" t="s">
        <v>29</v>
      </c>
      <c r="P97" s="10">
        <v>490</v>
      </c>
      <c r="Q97" s="10">
        <v>720</v>
      </c>
      <c r="R97" s="13">
        <f t="shared" si="5"/>
        <v>68.055555555555557</v>
      </c>
      <c r="S97" s="12">
        <v>44607</v>
      </c>
      <c r="T97" s="13">
        <v>93.91</v>
      </c>
      <c r="U97" s="10">
        <v>4110001004</v>
      </c>
      <c r="V97" s="10" t="s">
        <v>32</v>
      </c>
    </row>
    <row r="98" spans="1:22" ht="31.5" customHeight="1" x14ac:dyDescent="0.25">
      <c r="A98" s="10">
        <v>92</v>
      </c>
      <c r="B98" s="10">
        <v>67008</v>
      </c>
      <c r="C98" s="11" t="s">
        <v>131</v>
      </c>
      <c r="D98" s="10" t="s">
        <v>51</v>
      </c>
      <c r="E98" s="10" t="s">
        <v>26</v>
      </c>
      <c r="F98" s="12">
        <v>37236</v>
      </c>
      <c r="G98" s="10" t="s">
        <v>32</v>
      </c>
      <c r="H98" s="10" t="s">
        <v>28</v>
      </c>
      <c r="I98" s="13">
        <f>76+78+74</f>
        <v>228</v>
      </c>
      <c r="J98" s="10">
        <v>300</v>
      </c>
      <c r="K98" s="13">
        <f t="shared" si="3"/>
        <v>76</v>
      </c>
      <c r="L98" s="13">
        <v>97</v>
      </c>
      <c r="M98" s="10">
        <v>100</v>
      </c>
      <c r="N98" s="13">
        <f t="shared" si="4"/>
        <v>97</v>
      </c>
      <c r="O98" s="10" t="s">
        <v>113</v>
      </c>
      <c r="P98" s="10">
        <v>521</v>
      </c>
      <c r="Q98" s="10">
        <v>720</v>
      </c>
      <c r="R98" s="13">
        <f t="shared" si="5"/>
        <v>72.361111111111114</v>
      </c>
      <c r="S98" s="12">
        <v>44609</v>
      </c>
      <c r="T98" s="13">
        <v>95.61</v>
      </c>
      <c r="U98" s="10">
        <v>4101009404</v>
      </c>
      <c r="V98" s="10" t="s">
        <v>32</v>
      </c>
    </row>
    <row r="99" spans="1:22" ht="31.5" customHeight="1" x14ac:dyDescent="0.25">
      <c r="A99" s="10">
        <v>93</v>
      </c>
      <c r="B99" s="10">
        <v>65718</v>
      </c>
      <c r="C99" s="11" t="s">
        <v>132</v>
      </c>
      <c r="D99" s="10" t="s">
        <v>31</v>
      </c>
      <c r="E99" s="10" t="s">
        <v>26</v>
      </c>
      <c r="F99" s="12">
        <v>37208</v>
      </c>
      <c r="G99" s="10" t="s">
        <v>32</v>
      </c>
      <c r="H99" s="10" t="s">
        <v>28</v>
      </c>
      <c r="I99" s="13">
        <f>78+83+68</f>
        <v>229</v>
      </c>
      <c r="J99" s="10">
        <v>300</v>
      </c>
      <c r="K99" s="13">
        <f t="shared" si="3"/>
        <v>76.333333333333329</v>
      </c>
      <c r="L99" s="13">
        <v>82</v>
      </c>
      <c r="M99" s="10">
        <v>100</v>
      </c>
      <c r="N99" s="13">
        <f t="shared" si="4"/>
        <v>82</v>
      </c>
      <c r="O99" s="10" t="s">
        <v>29</v>
      </c>
      <c r="P99" s="10">
        <v>523</v>
      </c>
      <c r="Q99" s="10">
        <v>720</v>
      </c>
      <c r="R99" s="13">
        <f t="shared" si="5"/>
        <v>72.638888888888886</v>
      </c>
      <c r="S99" s="12">
        <v>44909</v>
      </c>
      <c r="T99" s="13">
        <v>95.71</v>
      </c>
      <c r="U99" s="10">
        <v>4109009071</v>
      </c>
      <c r="V99" s="10" t="s">
        <v>32</v>
      </c>
    </row>
    <row r="100" spans="1:22" ht="31.5" customHeight="1" x14ac:dyDescent="0.25">
      <c r="A100" s="10">
        <v>94</v>
      </c>
      <c r="B100" s="10">
        <v>89792</v>
      </c>
      <c r="C100" s="11" t="s">
        <v>133</v>
      </c>
      <c r="D100" s="10" t="s">
        <v>25</v>
      </c>
      <c r="E100" s="10" t="s">
        <v>26</v>
      </c>
      <c r="F100" s="12">
        <v>37148</v>
      </c>
      <c r="G100" s="10" t="s">
        <v>32</v>
      </c>
      <c r="H100" s="10" t="s">
        <v>28</v>
      </c>
      <c r="I100" s="13">
        <f>85+82+85</f>
        <v>252</v>
      </c>
      <c r="J100" s="10">
        <v>300</v>
      </c>
      <c r="K100" s="13">
        <f t="shared" si="3"/>
        <v>84</v>
      </c>
      <c r="L100" s="13">
        <v>88</v>
      </c>
      <c r="M100" s="10">
        <v>100</v>
      </c>
      <c r="N100" s="13">
        <f t="shared" si="4"/>
        <v>88</v>
      </c>
      <c r="O100" s="10" t="s">
        <v>29</v>
      </c>
      <c r="P100" s="10">
        <v>494</v>
      </c>
      <c r="Q100" s="10">
        <v>720</v>
      </c>
      <c r="R100" s="13">
        <f t="shared" si="5"/>
        <v>68.611111111111114</v>
      </c>
      <c r="S100" s="12">
        <v>44608</v>
      </c>
      <c r="T100" s="13">
        <v>94.15</v>
      </c>
      <c r="U100" s="10">
        <v>4109016160</v>
      </c>
      <c r="V100" s="10" t="s">
        <v>32</v>
      </c>
    </row>
    <row r="101" spans="1:22" ht="31.5" customHeight="1" x14ac:dyDescent="0.25">
      <c r="A101" s="10">
        <v>95</v>
      </c>
      <c r="B101" s="10">
        <v>500296</v>
      </c>
      <c r="C101" s="11" t="s">
        <v>134</v>
      </c>
      <c r="D101" s="10" t="s">
        <v>31</v>
      </c>
      <c r="E101" s="10" t="s">
        <v>26</v>
      </c>
      <c r="F101" s="12">
        <v>37126</v>
      </c>
      <c r="G101" s="10" t="s">
        <v>27</v>
      </c>
      <c r="H101" s="10" t="s">
        <v>28</v>
      </c>
      <c r="I101" s="13">
        <f>66+78+74</f>
        <v>218</v>
      </c>
      <c r="J101" s="10">
        <v>300</v>
      </c>
      <c r="K101" s="13">
        <f t="shared" si="3"/>
        <v>72.666666666666671</v>
      </c>
      <c r="L101" s="13">
        <v>81</v>
      </c>
      <c r="M101" s="10">
        <v>100</v>
      </c>
      <c r="N101" s="13">
        <f t="shared" si="4"/>
        <v>81</v>
      </c>
      <c r="O101" s="10" t="s">
        <v>29</v>
      </c>
      <c r="P101" s="10">
        <v>224</v>
      </c>
      <c r="Q101" s="10">
        <v>720</v>
      </c>
      <c r="R101" s="13">
        <f t="shared" si="5"/>
        <v>31.111111111111111</v>
      </c>
      <c r="S101" s="12">
        <v>44625</v>
      </c>
      <c r="T101" s="13">
        <v>67.569999999999993</v>
      </c>
      <c r="U101" s="10">
        <v>4115003280</v>
      </c>
      <c r="V101" s="10" t="s">
        <v>27</v>
      </c>
    </row>
    <row r="102" spans="1:22" ht="31.5" customHeight="1" x14ac:dyDescent="0.25">
      <c r="A102" s="10">
        <v>96</v>
      </c>
      <c r="B102" s="10">
        <v>654077</v>
      </c>
      <c r="C102" s="11" t="s">
        <v>135</v>
      </c>
      <c r="D102" s="10" t="s">
        <v>25</v>
      </c>
      <c r="E102" s="10" t="s">
        <v>26</v>
      </c>
      <c r="F102" s="12">
        <v>37534</v>
      </c>
      <c r="G102" s="10" t="s">
        <v>27</v>
      </c>
      <c r="H102" s="10" t="s">
        <v>48</v>
      </c>
      <c r="I102" s="13">
        <f>66+57+68</f>
        <v>191</v>
      </c>
      <c r="J102" s="10">
        <v>300</v>
      </c>
      <c r="K102" s="13">
        <f t="shared" si="3"/>
        <v>63.666666666666671</v>
      </c>
      <c r="L102" s="13">
        <v>75</v>
      </c>
      <c r="M102" s="10">
        <v>100</v>
      </c>
      <c r="N102" s="13">
        <f t="shared" si="4"/>
        <v>75</v>
      </c>
      <c r="O102" s="10" t="s">
        <v>29</v>
      </c>
      <c r="P102" s="10">
        <v>168</v>
      </c>
      <c r="Q102" s="10">
        <v>720</v>
      </c>
      <c r="R102" s="13">
        <f t="shared" si="5"/>
        <v>23.333333333333332</v>
      </c>
      <c r="S102" s="12">
        <v>44653</v>
      </c>
      <c r="T102" s="13">
        <v>57.49</v>
      </c>
      <c r="U102" s="10">
        <v>4116001197</v>
      </c>
      <c r="V102" s="10" t="s">
        <v>27</v>
      </c>
    </row>
    <row r="103" spans="1:22" ht="31.5" customHeight="1" x14ac:dyDescent="0.25">
      <c r="A103" s="10">
        <v>97</v>
      </c>
      <c r="B103" s="10">
        <v>464161</v>
      </c>
      <c r="C103" s="11" t="s">
        <v>136</v>
      </c>
      <c r="D103" s="10" t="s">
        <v>31</v>
      </c>
      <c r="E103" s="10" t="s">
        <v>26</v>
      </c>
      <c r="F103" s="12">
        <v>38110</v>
      </c>
      <c r="G103" s="10" t="s">
        <v>32</v>
      </c>
      <c r="H103" s="10" t="s">
        <v>28</v>
      </c>
      <c r="I103" s="13">
        <f>87.34+90.48+87.05</f>
        <v>264.87</v>
      </c>
      <c r="J103" s="10">
        <v>300</v>
      </c>
      <c r="K103" s="13">
        <f t="shared" si="3"/>
        <v>88.29</v>
      </c>
      <c r="L103" s="13">
        <v>89.78</v>
      </c>
      <c r="M103" s="10">
        <v>100</v>
      </c>
      <c r="N103" s="13">
        <f t="shared" si="4"/>
        <v>89.78</v>
      </c>
      <c r="O103" s="10" t="s">
        <v>29</v>
      </c>
      <c r="P103" s="10">
        <v>239</v>
      </c>
      <c r="Q103" s="10">
        <v>720</v>
      </c>
      <c r="R103" s="13">
        <f t="shared" si="5"/>
        <v>33.194444444444443</v>
      </c>
      <c r="S103" s="12">
        <v>44592</v>
      </c>
      <c r="T103" s="13">
        <v>69.8</v>
      </c>
      <c r="U103" s="10">
        <v>4114007021</v>
      </c>
      <c r="V103" s="10" t="s">
        <v>32</v>
      </c>
    </row>
    <row r="104" spans="1:22" ht="31.5" customHeight="1" x14ac:dyDescent="0.25">
      <c r="A104" s="10">
        <v>98</v>
      </c>
      <c r="B104" s="10">
        <v>70248</v>
      </c>
      <c r="C104" s="11" t="s">
        <v>137</v>
      </c>
      <c r="D104" s="10" t="s">
        <v>127</v>
      </c>
      <c r="E104" s="10" t="s">
        <v>26</v>
      </c>
      <c r="F104" s="12">
        <v>37699</v>
      </c>
      <c r="G104" s="10" t="s">
        <v>32</v>
      </c>
      <c r="H104" s="10" t="s">
        <v>28</v>
      </c>
      <c r="I104" s="13">
        <f>89+95+95</f>
        <v>279</v>
      </c>
      <c r="J104" s="10">
        <v>300</v>
      </c>
      <c r="K104" s="13">
        <f t="shared" si="3"/>
        <v>93</v>
      </c>
      <c r="L104" s="13">
        <v>84</v>
      </c>
      <c r="M104" s="10">
        <v>100</v>
      </c>
      <c r="N104" s="13">
        <f t="shared" si="4"/>
        <v>84</v>
      </c>
      <c r="O104" s="10" t="s">
        <v>29</v>
      </c>
      <c r="P104" s="10">
        <v>517</v>
      </c>
      <c r="Q104" s="10">
        <v>720</v>
      </c>
      <c r="R104" s="13">
        <f t="shared" si="5"/>
        <v>71.805555555555557</v>
      </c>
      <c r="S104" s="12">
        <v>44607</v>
      </c>
      <c r="T104" s="13">
        <v>95.41</v>
      </c>
      <c r="U104" s="10">
        <v>2702112109</v>
      </c>
      <c r="V104" s="10" t="s">
        <v>32</v>
      </c>
    </row>
    <row r="105" spans="1:22" ht="31.5" customHeight="1" x14ac:dyDescent="0.25">
      <c r="A105" s="10">
        <v>99</v>
      </c>
      <c r="B105" s="10">
        <v>65516</v>
      </c>
      <c r="C105" s="11" t="s">
        <v>138</v>
      </c>
      <c r="D105" s="10" t="s">
        <v>31</v>
      </c>
      <c r="E105" s="10" t="s">
        <v>26</v>
      </c>
      <c r="F105" s="12">
        <v>37507</v>
      </c>
      <c r="G105" s="10" t="s">
        <v>32</v>
      </c>
      <c r="H105" s="10" t="s">
        <v>28</v>
      </c>
      <c r="I105" s="13">
        <f>93+81+90</f>
        <v>264</v>
      </c>
      <c r="J105" s="10">
        <v>300</v>
      </c>
      <c r="K105" s="13">
        <f t="shared" si="3"/>
        <v>88</v>
      </c>
      <c r="L105" s="13">
        <v>97</v>
      </c>
      <c r="M105" s="10">
        <v>100</v>
      </c>
      <c r="N105" s="13">
        <f t="shared" si="4"/>
        <v>97</v>
      </c>
      <c r="O105" s="10" t="s">
        <v>29</v>
      </c>
      <c r="P105" s="10">
        <v>523</v>
      </c>
      <c r="Q105" s="10">
        <v>720</v>
      </c>
      <c r="R105" s="13">
        <f t="shared" si="5"/>
        <v>72.638888888888886</v>
      </c>
      <c r="S105" s="12">
        <v>44607</v>
      </c>
      <c r="T105" s="13">
        <v>95.71</v>
      </c>
      <c r="U105" s="10">
        <v>4117002122</v>
      </c>
      <c r="V105" s="10" t="s">
        <v>32</v>
      </c>
    </row>
    <row r="106" spans="1:22" ht="31.5" customHeight="1" x14ac:dyDescent="0.25">
      <c r="A106" s="10">
        <v>100</v>
      </c>
      <c r="B106" s="10">
        <v>70736</v>
      </c>
      <c r="C106" s="11" t="s">
        <v>139</v>
      </c>
      <c r="D106" s="10" t="s">
        <v>31</v>
      </c>
      <c r="E106" s="10" t="s">
        <v>26</v>
      </c>
      <c r="F106" s="12">
        <v>37208</v>
      </c>
      <c r="G106" s="10" t="s">
        <v>32</v>
      </c>
      <c r="H106" s="10" t="s">
        <v>28</v>
      </c>
      <c r="I106" s="13">
        <f>95+96+95</f>
        <v>286</v>
      </c>
      <c r="J106" s="10">
        <v>300</v>
      </c>
      <c r="K106" s="13">
        <f t="shared" si="3"/>
        <v>95.333333333333343</v>
      </c>
      <c r="L106" s="13">
        <v>94</v>
      </c>
      <c r="M106" s="10">
        <v>100</v>
      </c>
      <c r="N106" s="13">
        <f t="shared" si="4"/>
        <v>94</v>
      </c>
      <c r="O106" s="10" t="s">
        <v>29</v>
      </c>
      <c r="P106" s="10">
        <v>517</v>
      </c>
      <c r="Q106" s="10">
        <v>720</v>
      </c>
      <c r="R106" s="13">
        <f t="shared" si="5"/>
        <v>71.805555555555557</v>
      </c>
      <c r="S106" s="12">
        <v>44606</v>
      </c>
      <c r="T106" s="13">
        <v>95.41</v>
      </c>
      <c r="U106" s="10">
        <v>4108001371</v>
      </c>
      <c r="V106" s="10" t="s">
        <v>32</v>
      </c>
    </row>
    <row r="107" spans="1:22" ht="31.5" customHeight="1" x14ac:dyDescent="0.25">
      <c r="A107" s="10">
        <v>101</v>
      </c>
      <c r="B107" s="10">
        <v>92497</v>
      </c>
      <c r="C107" s="11" t="s">
        <v>140</v>
      </c>
      <c r="D107" s="10" t="s">
        <v>31</v>
      </c>
      <c r="E107" s="10" t="s">
        <v>26</v>
      </c>
      <c r="F107" s="12">
        <v>37291</v>
      </c>
      <c r="G107" s="10" t="s">
        <v>32</v>
      </c>
      <c r="H107" s="10" t="s">
        <v>28</v>
      </c>
      <c r="I107" s="13">
        <f>87+93+92</f>
        <v>272</v>
      </c>
      <c r="J107" s="10">
        <v>300</v>
      </c>
      <c r="K107" s="13">
        <f t="shared" si="3"/>
        <v>90.666666666666657</v>
      </c>
      <c r="L107" s="13">
        <v>93</v>
      </c>
      <c r="M107" s="10">
        <v>100</v>
      </c>
      <c r="N107" s="13">
        <f t="shared" si="4"/>
        <v>93</v>
      </c>
      <c r="O107" s="10" t="s">
        <v>29</v>
      </c>
      <c r="P107" s="10">
        <v>491</v>
      </c>
      <c r="Q107" s="10">
        <v>720</v>
      </c>
      <c r="R107" s="13">
        <f t="shared" si="5"/>
        <v>68.194444444444443</v>
      </c>
      <c r="S107" s="12">
        <v>44608</v>
      </c>
      <c r="T107" s="13">
        <v>93.97</v>
      </c>
      <c r="U107" s="10">
        <v>4103001324</v>
      </c>
      <c r="V107" s="10" t="s">
        <v>32</v>
      </c>
    </row>
    <row r="108" spans="1:22" ht="31.5" customHeight="1" x14ac:dyDescent="0.25">
      <c r="A108" s="10">
        <v>102</v>
      </c>
      <c r="B108" s="10">
        <v>68724</v>
      </c>
      <c r="C108" s="11" t="s">
        <v>141</v>
      </c>
      <c r="D108" s="10" t="s">
        <v>31</v>
      </c>
      <c r="E108" s="10" t="s">
        <v>26</v>
      </c>
      <c r="F108" s="12">
        <v>37795</v>
      </c>
      <c r="G108" s="10" t="s">
        <v>32</v>
      </c>
      <c r="H108" s="10" t="s">
        <v>28</v>
      </c>
      <c r="I108" s="13">
        <f>94+97+100</f>
        <v>291</v>
      </c>
      <c r="J108" s="10">
        <v>300</v>
      </c>
      <c r="K108" s="13">
        <f t="shared" si="3"/>
        <v>97</v>
      </c>
      <c r="L108" s="13">
        <v>94</v>
      </c>
      <c r="M108" s="10">
        <v>100</v>
      </c>
      <c r="N108" s="13">
        <f t="shared" si="4"/>
        <v>94</v>
      </c>
      <c r="O108" s="10" t="s">
        <v>29</v>
      </c>
      <c r="P108" s="10">
        <v>519</v>
      </c>
      <c r="Q108" s="10">
        <v>720</v>
      </c>
      <c r="R108" s="13">
        <f t="shared" si="5"/>
        <v>72.083333333333329</v>
      </c>
      <c r="S108" s="12">
        <v>44639</v>
      </c>
      <c r="T108" s="13">
        <v>95.51</v>
      </c>
      <c r="U108" s="10">
        <v>4110001140</v>
      </c>
      <c r="V108" s="10" t="s">
        <v>32</v>
      </c>
    </row>
    <row r="109" spans="1:22" ht="31.5" customHeight="1" x14ac:dyDescent="0.25">
      <c r="A109" s="10">
        <v>103</v>
      </c>
      <c r="B109" s="10">
        <v>205392</v>
      </c>
      <c r="C109" s="11" t="s">
        <v>142</v>
      </c>
      <c r="D109" s="10" t="s">
        <v>31</v>
      </c>
      <c r="E109" s="10" t="s">
        <v>26</v>
      </c>
      <c r="F109" s="12">
        <v>37775</v>
      </c>
      <c r="G109" s="10" t="s">
        <v>27</v>
      </c>
      <c r="H109" s="10" t="s">
        <v>28</v>
      </c>
      <c r="I109" s="13">
        <f>74+68+78</f>
        <v>220</v>
      </c>
      <c r="J109" s="10">
        <v>300</v>
      </c>
      <c r="K109" s="13">
        <f t="shared" si="3"/>
        <v>73.333333333333329</v>
      </c>
      <c r="L109" s="13">
        <v>89</v>
      </c>
      <c r="M109" s="10">
        <v>100</v>
      </c>
      <c r="N109" s="13">
        <f t="shared" si="4"/>
        <v>89</v>
      </c>
      <c r="O109" s="10" t="s">
        <v>29</v>
      </c>
      <c r="P109" s="10">
        <v>390</v>
      </c>
      <c r="Q109" s="10">
        <v>720</v>
      </c>
      <c r="R109" s="13">
        <f t="shared" si="5"/>
        <v>54.166666666666664</v>
      </c>
      <c r="S109" s="12">
        <v>44644</v>
      </c>
      <c r="T109" s="13">
        <v>86.64</v>
      </c>
      <c r="U109" s="10">
        <v>4114001166</v>
      </c>
      <c r="V109" s="10" t="s">
        <v>27</v>
      </c>
    </row>
    <row r="110" spans="1:22" ht="31.5" customHeight="1" x14ac:dyDescent="0.25">
      <c r="A110" s="10">
        <v>104</v>
      </c>
      <c r="B110" s="10">
        <v>65503</v>
      </c>
      <c r="C110" s="11" t="s">
        <v>143</v>
      </c>
      <c r="D110" s="10" t="s">
        <v>25</v>
      </c>
      <c r="E110" s="10" t="s">
        <v>26</v>
      </c>
      <c r="F110" s="12">
        <v>37419</v>
      </c>
      <c r="G110" s="10" t="s">
        <v>32</v>
      </c>
      <c r="H110" s="10" t="s">
        <v>28</v>
      </c>
      <c r="I110" s="13">
        <f>79+87+63</f>
        <v>229</v>
      </c>
      <c r="J110" s="10">
        <v>300</v>
      </c>
      <c r="K110" s="13">
        <f t="shared" si="3"/>
        <v>76.333333333333329</v>
      </c>
      <c r="L110" s="13">
        <v>87</v>
      </c>
      <c r="M110" s="10">
        <v>100</v>
      </c>
      <c r="N110" s="13">
        <f t="shared" si="4"/>
        <v>87</v>
      </c>
      <c r="O110" s="10" t="s">
        <v>29</v>
      </c>
      <c r="P110" s="10">
        <v>523</v>
      </c>
      <c r="Q110" s="10">
        <v>720</v>
      </c>
      <c r="R110" s="13">
        <f t="shared" si="5"/>
        <v>72.638888888888886</v>
      </c>
      <c r="S110" s="12">
        <v>44606</v>
      </c>
      <c r="T110" s="13">
        <v>95.71</v>
      </c>
      <c r="U110" s="10">
        <v>4103002664</v>
      </c>
      <c r="V110" s="10" t="s">
        <v>32</v>
      </c>
    </row>
    <row r="111" spans="1:22" ht="31.5" customHeight="1" x14ac:dyDescent="0.25">
      <c r="A111" s="10">
        <v>105</v>
      </c>
      <c r="B111" s="10">
        <v>63505</v>
      </c>
      <c r="C111" s="11" t="s">
        <v>144</v>
      </c>
      <c r="D111" s="10" t="s">
        <v>31</v>
      </c>
      <c r="E111" s="10" t="s">
        <v>26</v>
      </c>
      <c r="F111" s="12">
        <v>37217</v>
      </c>
      <c r="G111" s="10" t="s">
        <v>32</v>
      </c>
      <c r="H111" s="10" t="s">
        <v>28</v>
      </c>
      <c r="I111" s="13">
        <f>164+160+150</f>
        <v>474</v>
      </c>
      <c r="J111" s="10">
        <v>600</v>
      </c>
      <c r="K111" s="13">
        <f t="shared" si="3"/>
        <v>79</v>
      </c>
      <c r="L111" s="13">
        <v>188</v>
      </c>
      <c r="M111" s="10">
        <v>200</v>
      </c>
      <c r="N111" s="13">
        <f t="shared" si="4"/>
        <v>94</v>
      </c>
      <c r="O111" s="10" t="s">
        <v>29</v>
      </c>
      <c r="P111" s="10">
        <v>526</v>
      </c>
      <c r="Q111" s="10">
        <v>720</v>
      </c>
      <c r="R111" s="13">
        <f t="shared" si="5"/>
        <v>73.055555555555557</v>
      </c>
      <c r="S111" s="12">
        <v>44608</v>
      </c>
      <c r="T111" s="13">
        <v>95.86</v>
      </c>
      <c r="U111" s="10">
        <v>4112004343</v>
      </c>
      <c r="V111" s="10" t="s">
        <v>32</v>
      </c>
    </row>
    <row r="112" spans="1:22" ht="31.5" customHeight="1" x14ac:dyDescent="0.25">
      <c r="A112" s="10">
        <v>106</v>
      </c>
      <c r="B112" s="10">
        <v>230572</v>
      </c>
      <c r="C112" s="11" t="s">
        <v>145</v>
      </c>
      <c r="D112" s="10" t="s">
        <v>25</v>
      </c>
      <c r="E112" s="10" t="s">
        <v>26</v>
      </c>
      <c r="F112" s="12">
        <v>37920</v>
      </c>
      <c r="G112" s="10" t="s">
        <v>27</v>
      </c>
      <c r="H112" s="10" t="s">
        <v>55</v>
      </c>
      <c r="I112" s="13">
        <f>98+91+95</f>
        <v>284</v>
      </c>
      <c r="J112" s="10">
        <v>300</v>
      </c>
      <c r="K112" s="13">
        <f t="shared" si="3"/>
        <v>94.666666666666671</v>
      </c>
      <c r="L112" s="13">
        <v>93</v>
      </c>
      <c r="M112" s="10">
        <v>100</v>
      </c>
      <c r="N112" s="13">
        <f t="shared" si="4"/>
        <v>93</v>
      </c>
      <c r="O112" s="10" t="s">
        <v>29</v>
      </c>
      <c r="P112" s="10">
        <v>372</v>
      </c>
      <c r="Q112" s="10">
        <v>720</v>
      </c>
      <c r="R112" s="13">
        <f t="shared" si="5"/>
        <v>51.666666666666671</v>
      </c>
      <c r="S112" s="12">
        <v>44624</v>
      </c>
      <c r="T112" s="13">
        <v>85.04</v>
      </c>
      <c r="U112" s="10">
        <v>4109003108</v>
      </c>
      <c r="V112" s="10" t="s">
        <v>27</v>
      </c>
    </row>
    <row r="113" spans="1:22" ht="31.5" customHeight="1" x14ac:dyDescent="0.25">
      <c r="A113" s="10">
        <v>107</v>
      </c>
      <c r="B113" s="10">
        <v>546879</v>
      </c>
      <c r="C113" s="11" t="s">
        <v>146</v>
      </c>
      <c r="D113" s="10" t="s">
        <v>25</v>
      </c>
      <c r="E113" s="10" t="s">
        <v>26</v>
      </c>
      <c r="F113" s="12">
        <v>37701</v>
      </c>
      <c r="G113" s="10" t="s">
        <v>27</v>
      </c>
      <c r="H113" s="10" t="s">
        <v>44</v>
      </c>
      <c r="I113" s="13">
        <f>83+78+89</f>
        <v>250</v>
      </c>
      <c r="J113" s="10">
        <v>300</v>
      </c>
      <c r="K113" s="13">
        <f t="shared" si="3"/>
        <v>83.333333333333343</v>
      </c>
      <c r="L113" s="13">
        <v>85</v>
      </c>
      <c r="M113" s="10">
        <v>100</v>
      </c>
      <c r="N113" s="13">
        <f t="shared" si="4"/>
        <v>85</v>
      </c>
      <c r="O113" s="10" t="s">
        <v>29</v>
      </c>
      <c r="P113" s="10">
        <v>205</v>
      </c>
      <c r="Q113" s="10">
        <v>720</v>
      </c>
      <c r="R113" s="13">
        <f t="shared" si="5"/>
        <v>28.472222222222221</v>
      </c>
      <c r="S113" s="12">
        <v>44644</v>
      </c>
      <c r="T113" s="13">
        <v>64.510000000000005</v>
      </c>
      <c r="U113" s="10">
        <v>4113017149</v>
      </c>
      <c r="V113" s="10" t="s">
        <v>27</v>
      </c>
    </row>
    <row r="114" spans="1:22" ht="31.5" customHeight="1" x14ac:dyDescent="0.25">
      <c r="A114" s="10">
        <v>108</v>
      </c>
      <c r="B114" s="10">
        <v>68189</v>
      </c>
      <c r="C114" s="11" t="s">
        <v>147</v>
      </c>
      <c r="D114" s="10" t="s">
        <v>25</v>
      </c>
      <c r="E114" s="10" t="s">
        <v>26</v>
      </c>
      <c r="F114" s="12">
        <v>37920</v>
      </c>
      <c r="G114" s="10" t="s">
        <v>32</v>
      </c>
      <c r="H114" s="10" t="s">
        <v>28</v>
      </c>
      <c r="I114" s="13">
        <f>95+95+95</f>
        <v>285</v>
      </c>
      <c r="J114" s="10">
        <v>300</v>
      </c>
      <c r="K114" s="13">
        <f t="shared" si="3"/>
        <v>95</v>
      </c>
      <c r="L114" s="13">
        <v>94</v>
      </c>
      <c r="M114" s="10">
        <v>100</v>
      </c>
      <c r="N114" s="13">
        <f t="shared" si="4"/>
        <v>94</v>
      </c>
      <c r="O114" s="10" t="s">
        <v>29</v>
      </c>
      <c r="P114" s="10">
        <v>520</v>
      </c>
      <c r="Q114" s="10">
        <v>720</v>
      </c>
      <c r="R114" s="13">
        <f t="shared" si="5"/>
        <v>72.222222222222214</v>
      </c>
      <c r="S114" s="12">
        <v>44606</v>
      </c>
      <c r="T114" s="13">
        <v>95.56</v>
      </c>
      <c r="U114" s="10">
        <v>4109001053</v>
      </c>
      <c r="V114" s="10" t="s">
        <v>32</v>
      </c>
    </row>
    <row r="115" spans="1:22" ht="31.5" customHeight="1" x14ac:dyDescent="0.25">
      <c r="A115" s="10">
        <v>109</v>
      </c>
      <c r="B115" s="10">
        <v>629459</v>
      </c>
      <c r="C115" s="11" t="s">
        <v>148</v>
      </c>
      <c r="D115" s="10" t="s">
        <v>31</v>
      </c>
      <c r="E115" s="10" t="s">
        <v>26</v>
      </c>
      <c r="F115" s="12">
        <v>37684</v>
      </c>
      <c r="G115" s="10" t="s">
        <v>27</v>
      </c>
      <c r="H115" s="10" t="s">
        <v>28</v>
      </c>
      <c r="I115" s="13">
        <f>64+55+84</f>
        <v>203</v>
      </c>
      <c r="J115" s="10">
        <v>300</v>
      </c>
      <c r="K115" s="13">
        <f t="shared" si="3"/>
        <v>67.666666666666657</v>
      </c>
      <c r="L115" s="13">
        <v>87</v>
      </c>
      <c r="M115" s="10">
        <v>100</v>
      </c>
      <c r="N115" s="13">
        <f t="shared" si="4"/>
        <v>87</v>
      </c>
      <c r="O115" s="10" t="s">
        <v>29</v>
      </c>
      <c r="P115" s="10">
        <v>176</v>
      </c>
      <c r="Q115" s="10">
        <v>720</v>
      </c>
      <c r="R115" s="13">
        <f t="shared" si="5"/>
        <v>24.444444444444443</v>
      </c>
      <c r="S115" s="12">
        <v>44647</v>
      </c>
      <c r="T115" s="13">
        <v>59.19</v>
      </c>
      <c r="U115" s="10">
        <v>4113002112</v>
      </c>
      <c r="V115" s="10" t="s">
        <v>27</v>
      </c>
    </row>
    <row r="116" spans="1:22" ht="31.5" customHeight="1" x14ac:dyDescent="0.25">
      <c r="A116" s="10">
        <v>110</v>
      </c>
      <c r="B116" s="10">
        <v>458837</v>
      </c>
      <c r="C116" s="11" t="s">
        <v>149</v>
      </c>
      <c r="D116" s="10" t="s">
        <v>25</v>
      </c>
      <c r="E116" s="10" t="s">
        <v>26</v>
      </c>
      <c r="F116" s="12">
        <v>37614</v>
      </c>
      <c r="G116" s="10" t="s">
        <v>27</v>
      </c>
      <c r="H116" s="10" t="s">
        <v>55</v>
      </c>
      <c r="I116" s="13">
        <f>69+84+88</f>
        <v>241</v>
      </c>
      <c r="J116" s="10">
        <v>300</v>
      </c>
      <c r="K116" s="13">
        <f t="shared" si="3"/>
        <v>80.333333333333329</v>
      </c>
      <c r="L116" s="13">
        <v>89</v>
      </c>
      <c r="M116" s="10">
        <v>100</v>
      </c>
      <c r="N116" s="13">
        <f t="shared" si="4"/>
        <v>89</v>
      </c>
      <c r="O116" s="10" t="s">
        <v>29</v>
      </c>
      <c r="P116" s="10">
        <v>242</v>
      </c>
      <c r="Q116" s="10">
        <v>720</v>
      </c>
      <c r="R116" s="13">
        <f t="shared" si="5"/>
        <v>33.611111111111114</v>
      </c>
      <c r="S116" s="12">
        <v>44643</v>
      </c>
      <c r="T116" s="13">
        <v>70.239999999999995</v>
      </c>
      <c r="U116" s="10">
        <v>4109007749</v>
      </c>
      <c r="V116" s="10" t="s">
        <v>27</v>
      </c>
    </row>
    <row r="117" spans="1:22" ht="31.5" customHeight="1" x14ac:dyDescent="0.25">
      <c r="A117" s="10">
        <v>111</v>
      </c>
      <c r="B117" s="10">
        <v>295110</v>
      </c>
      <c r="C117" s="11" t="s">
        <v>150</v>
      </c>
      <c r="D117" s="10" t="s">
        <v>31</v>
      </c>
      <c r="E117" s="10" t="s">
        <v>26</v>
      </c>
      <c r="F117" s="12">
        <v>37410</v>
      </c>
      <c r="G117" s="10" t="s">
        <v>27</v>
      </c>
      <c r="H117" s="10" t="s">
        <v>28</v>
      </c>
      <c r="I117" s="13">
        <f>49+59+52</f>
        <v>160</v>
      </c>
      <c r="J117" s="10">
        <v>300</v>
      </c>
      <c r="K117" s="13">
        <f t="shared" si="3"/>
        <v>53.333333333333336</v>
      </c>
      <c r="L117" s="13">
        <v>93</v>
      </c>
      <c r="M117" s="10">
        <v>100</v>
      </c>
      <c r="N117" s="13">
        <f t="shared" si="4"/>
        <v>93</v>
      </c>
      <c r="O117" s="10" t="s">
        <v>29</v>
      </c>
      <c r="P117" s="10">
        <v>329</v>
      </c>
      <c r="Q117" s="10">
        <v>720</v>
      </c>
      <c r="R117" s="13">
        <f t="shared" si="5"/>
        <v>45.694444444444443</v>
      </c>
      <c r="S117" s="12">
        <v>44652</v>
      </c>
      <c r="T117" s="13">
        <v>80.81</v>
      </c>
      <c r="U117" s="10">
        <v>4114005638</v>
      </c>
      <c r="V117" s="10" t="s">
        <v>27</v>
      </c>
    </row>
    <row r="118" spans="1:22" ht="31.5" customHeight="1" x14ac:dyDescent="0.25">
      <c r="A118" s="10">
        <v>112</v>
      </c>
      <c r="B118" s="10">
        <v>410964</v>
      </c>
      <c r="C118" s="11" t="s">
        <v>151</v>
      </c>
      <c r="D118" s="10" t="s">
        <v>31</v>
      </c>
      <c r="E118" s="10" t="s">
        <v>26</v>
      </c>
      <c r="F118" s="12">
        <v>37829</v>
      </c>
      <c r="G118" s="10" t="s">
        <v>27</v>
      </c>
      <c r="H118" s="10" t="s">
        <v>44</v>
      </c>
      <c r="I118" s="13">
        <f>93+82+88</f>
        <v>263</v>
      </c>
      <c r="J118" s="10">
        <v>300</v>
      </c>
      <c r="K118" s="13">
        <f t="shared" si="3"/>
        <v>87.666666666666671</v>
      </c>
      <c r="L118" s="13">
        <v>94</v>
      </c>
      <c r="M118" s="10">
        <v>100</v>
      </c>
      <c r="N118" s="13">
        <f t="shared" si="4"/>
        <v>94</v>
      </c>
      <c r="O118" s="10" t="s">
        <v>29</v>
      </c>
      <c r="P118" s="10">
        <v>265</v>
      </c>
      <c r="Q118" s="10">
        <v>720</v>
      </c>
      <c r="R118" s="13">
        <f t="shared" si="5"/>
        <v>36.805555555555557</v>
      </c>
      <c r="S118" s="12">
        <v>44624</v>
      </c>
      <c r="T118" s="13">
        <v>73.31</v>
      </c>
      <c r="U118" s="10">
        <v>4110008220</v>
      </c>
      <c r="V118" s="10" t="s">
        <v>27</v>
      </c>
    </row>
    <row r="119" spans="1:22" ht="31.5" customHeight="1" x14ac:dyDescent="0.25">
      <c r="A119" s="10">
        <v>113</v>
      </c>
      <c r="B119" s="10">
        <v>70967</v>
      </c>
      <c r="C119" s="11" t="s">
        <v>152</v>
      </c>
      <c r="D119" s="10" t="s">
        <v>31</v>
      </c>
      <c r="E119" s="10" t="s">
        <v>26</v>
      </c>
      <c r="F119" s="12">
        <v>37501</v>
      </c>
      <c r="G119" s="10" t="s">
        <v>32</v>
      </c>
      <c r="H119" s="10" t="s">
        <v>28</v>
      </c>
      <c r="I119" s="13">
        <f>92+94+94</f>
        <v>280</v>
      </c>
      <c r="J119" s="10">
        <v>300</v>
      </c>
      <c r="K119" s="13">
        <f t="shared" si="3"/>
        <v>93.333333333333329</v>
      </c>
      <c r="L119" s="13">
        <v>89</v>
      </c>
      <c r="M119" s="10">
        <v>100</v>
      </c>
      <c r="N119" s="13">
        <f t="shared" si="4"/>
        <v>89</v>
      </c>
      <c r="O119" s="10" t="s">
        <v>29</v>
      </c>
      <c r="P119" s="10">
        <v>516</v>
      </c>
      <c r="Q119" s="10">
        <v>720</v>
      </c>
      <c r="R119" s="13">
        <f t="shared" si="5"/>
        <v>71.666666666666671</v>
      </c>
      <c r="S119" s="12">
        <v>44606</v>
      </c>
      <c r="T119" s="13">
        <v>95.36</v>
      </c>
      <c r="U119" s="10">
        <v>4118001246</v>
      </c>
      <c r="V119" s="10" t="s">
        <v>32</v>
      </c>
    </row>
    <row r="120" spans="1:22" ht="31.5" customHeight="1" x14ac:dyDescent="0.25">
      <c r="A120" s="10">
        <v>114</v>
      </c>
      <c r="B120" s="10">
        <v>815306</v>
      </c>
      <c r="C120" s="11" t="s">
        <v>153</v>
      </c>
      <c r="D120" s="10" t="s">
        <v>31</v>
      </c>
      <c r="E120" s="10" t="s">
        <v>26</v>
      </c>
      <c r="F120" s="12">
        <v>37599</v>
      </c>
      <c r="G120" s="10" t="s">
        <v>27</v>
      </c>
      <c r="H120" s="10" t="s">
        <v>28</v>
      </c>
      <c r="I120" s="13">
        <f>83+78+95</f>
        <v>256</v>
      </c>
      <c r="J120" s="10">
        <v>300</v>
      </c>
      <c r="K120" s="13">
        <f t="shared" si="3"/>
        <v>85.333333333333343</v>
      </c>
      <c r="L120" s="13">
        <v>92</v>
      </c>
      <c r="M120" s="10">
        <v>100</v>
      </c>
      <c r="N120" s="13">
        <f t="shared" si="4"/>
        <v>92</v>
      </c>
      <c r="O120" s="10" t="s">
        <v>29</v>
      </c>
      <c r="P120" s="10">
        <v>128</v>
      </c>
      <c r="Q120" s="10">
        <v>720</v>
      </c>
      <c r="R120" s="13">
        <f t="shared" si="5"/>
        <v>17.777777777777779</v>
      </c>
      <c r="S120" s="12">
        <v>44664</v>
      </c>
      <c r="T120" s="13">
        <v>47.89</v>
      </c>
      <c r="U120" s="10">
        <v>4114009464</v>
      </c>
      <c r="V120" s="10" t="s">
        <v>27</v>
      </c>
    </row>
    <row r="121" spans="1:22" ht="31.5" customHeight="1" x14ac:dyDescent="0.25">
      <c r="A121" s="10">
        <v>115</v>
      </c>
      <c r="B121" s="10">
        <v>321706</v>
      </c>
      <c r="C121" s="11" t="s">
        <v>154</v>
      </c>
      <c r="D121" s="10" t="s">
        <v>31</v>
      </c>
      <c r="E121" s="10" t="s">
        <v>26</v>
      </c>
      <c r="F121" s="12">
        <v>37955</v>
      </c>
      <c r="G121" s="10" t="s">
        <v>27</v>
      </c>
      <c r="H121" s="10" t="s">
        <v>28</v>
      </c>
      <c r="I121" s="13">
        <f>64+69+66</f>
        <v>199</v>
      </c>
      <c r="J121" s="10">
        <v>300</v>
      </c>
      <c r="K121" s="13">
        <f t="shared" si="3"/>
        <v>66.333333333333329</v>
      </c>
      <c r="L121" s="13">
        <v>70</v>
      </c>
      <c r="M121" s="10">
        <v>100</v>
      </c>
      <c r="N121" s="13">
        <f t="shared" si="4"/>
        <v>70</v>
      </c>
      <c r="O121" s="10" t="s">
        <v>29</v>
      </c>
      <c r="P121" s="10">
        <v>313</v>
      </c>
      <c r="Q121" s="10">
        <v>720</v>
      </c>
      <c r="R121" s="13">
        <f t="shared" si="5"/>
        <v>43.472222222222221</v>
      </c>
      <c r="S121" s="12">
        <v>44661</v>
      </c>
      <c r="T121" s="13">
        <v>79.069999999999993</v>
      </c>
      <c r="U121" s="10">
        <v>4103001341</v>
      </c>
      <c r="V121" s="10" t="s">
        <v>27</v>
      </c>
    </row>
    <row r="122" spans="1:22" ht="31.5" customHeight="1" x14ac:dyDescent="0.25">
      <c r="A122" s="10">
        <v>116</v>
      </c>
      <c r="B122" s="10">
        <v>66955</v>
      </c>
      <c r="C122" s="11" t="s">
        <v>155</v>
      </c>
      <c r="D122" s="10" t="s">
        <v>25</v>
      </c>
      <c r="E122" s="10" t="s">
        <v>26</v>
      </c>
      <c r="F122" s="12">
        <v>37931</v>
      </c>
      <c r="G122" s="10" t="s">
        <v>32</v>
      </c>
      <c r="H122" s="10" t="s">
        <v>28</v>
      </c>
      <c r="I122" s="13">
        <f>96+99+98</f>
        <v>293</v>
      </c>
      <c r="J122" s="10">
        <v>300</v>
      </c>
      <c r="K122" s="13">
        <f t="shared" si="3"/>
        <v>97.666666666666671</v>
      </c>
      <c r="L122" s="13">
        <v>92</v>
      </c>
      <c r="M122" s="10">
        <v>100</v>
      </c>
      <c r="N122" s="13">
        <f t="shared" si="4"/>
        <v>92</v>
      </c>
      <c r="O122" s="10" t="s">
        <v>29</v>
      </c>
      <c r="P122" s="10">
        <v>521</v>
      </c>
      <c r="Q122" s="10">
        <v>720</v>
      </c>
      <c r="R122" s="13">
        <f t="shared" si="5"/>
        <v>72.361111111111114</v>
      </c>
      <c r="S122" s="12">
        <v>44606</v>
      </c>
      <c r="T122" s="13">
        <v>95.61</v>
      </c>
      <c r="U122" s="10">
        <v>4114006474</v>
      </c>
      <c r="V122" s="10" t="s">
        <v>32</v>
      </c>
    </row>
    <row r="123" spans="1:22" ht="31.5" customHeight="1" x14ac:dyDescent="0.25">
      <c r="A123" s="10">
        <v>117</v>
      </c>
      <c r="B123" s="10">
        <v>370117</v>
      </c>
      <c r="C123" s="11" t="s">
        <v>156</v>
      </c>
      <c r="D123" s="10" t="s">
        <v>25</v>
      </c>
      <c r="E123" s="10" t="s">
        <v>26</v>
      </c>
      <c r="F123" s="12">
        <v>37631</v>
      </c>
      <c r="G123" s="10" t="s">
        <v>27</v>
      </c>
      <c r="H123" s="10" t="s">
        <v>28</v>
      </c>
      <c r="I123" s="13">
        <f>52+67+75</f>
        <v>194</v>
      </c>
      <c r="J123" s="10">
        <v>300</v>
      </c>
      <c r="K123" s="13">
        <f t="shared" si="3"/>
        <v>64.666666666666657</v>
      </c>
      <c r="L123" s="13">
        <v>88</v>
      </c>
      <c r="M123" s="10">
        <v>100</v>
      </c>
      <c r="N123" s="13">
        <f t="shared" si="4"/>
        <v>88</v>
      </c>
      <c r="O123" s="10" t="s">
        <v>29</v>
      </c>
      <c r="P123" s="10">
        <v>286</v>
      </c>
      <c r="Q123" s="10">
        <v>720</v>
      </c>
      <c r="R123" s="13">
        <f t="shared" si="5"/>
        <v>39.722222222222221</v>
      </c>
      <c r="S123" s="12">
        <v>44644</v>
      </c>
      <c r="T123" s="13">
        <v>75.95</v>
      </c>
      <c r="U123" s="10">
        <v>4114001523</v>
      </c>
      <c r="V123" s="10" t="s">
        <v>27</v>
      </c>
    </row>
    <row r="124" spans="1:22" ht="31.5" customHeight="1" x14ac:dyDescent="0.25">
      <c r="A124" s="10">
        <v>118</v>
      </c>
      <c r="B124" s="10">
        <v>71126</v>
      </c>
      <c r="C124" s="11" t="s">
        <v>157</v>
      </c>
      <c r="D124" s="10" t="s">
        <v>25</v>
      </c>
      <c r="E124" s="10" t="s">
        <v>26</v>
      </c>
      <c r="F124" s="12">
        <v>38000</v>
      </c>
      <c r="G124" s="10" t="s">
        <v>32</v>
      </c>
      <c r="H124" s="10" t="s">
        <v>28</v>
      </c>
      <c r="I124" s="13">
        <f>93+94+93</f>
        <v>280</v>
      </c>
      <c r="J124" s="10">
        <v>300</v>
      </c>
      <c r="K124" s="13">
        <f t="shared" si="3"/>
        <v>93.333333333333329</v>
      </c>
      <c r="L124" s="13">
        <v>86</v>
      </c>
      <c r="M124" s="10">
        <v>100</v>
      </c>
      <c r="N124" s="13">
        <f t="shared" si="4"/>
        <v>86</v>
      </c>
      <c r="O124" s="10" t="s">
        <v>29</v>
      </c>
      <c r="P124" s="10">
        <v>516</v>
      </c>
      <c r="Q124" s="10">
        <v>720</v>
      </c>
      <c r="R124" s="13">
        <f t="shared" si="5"/>
        <v>71.666666666666671</v>
      </c>
      <c r="S124" s="12">
        <v>44608</v>
      </c>
      <c r="T124" s="13">
        <v>95.36</v>
      </c>
      <c r="U124" s="10">
        <v>4101002533</v>
      </c>
      <c r="V124" s="10" t="s">
        <v>32</v>
      </c>
    </row>
    <row r="125" spans="1:22" ht="31.5" customHeight="1" x14ac:dyDescent="0.25">
      <c r="A125" s="10">
        <v>119</v>
      </c>
      <c r="B125" s="10">
        <v>441872</v>
      </c>
      <c r="C125" s="11" t="s">
        <v>158</v>
      </c>
      <c r="D125" s="10" t="s">
        <v>25</v>
      </c>
      <c r="E125" s="10" t="s">
        <v>26</v>
      </c>
      <c r="F125" s="12">
        <v>37412</v>
      </c>
      <c r="G125" s="10" t="s">
        <v>27</v>
      </c>
      <c r="H125" s="10" t="s">
        <v>28</v>
      </c>
      <c r="I125" s="13">
        <f>76+79+63</f>
        <v>218</v>
      </c>
      <c r="J125" s="10">
        <v>300</v>
      </c>
      <c r="K125" s="13">
        <f t="shared" si="3"/>
        <v>72.666666666666671</v>
      </c>
      <c r="L125" s="13">
        <v>77</v>
      </c>
      <c r="M125" s="10">
        <v>100</v>
      </c>
      <c r="N125" s="13">
        <f t="shared" si="4"/>
        <v>77</v>
      </c>
      <c r="O125" s="10" t="s">
        <v>29</v>
      </c>
      <c r="P125" s="10">
        <v>250</v>
      </c>
      <c r="Q125" s="10">
        <v>720</v>
      </c>
      <c r="R125" s="13">
        <f t="shared" si="5"/>
        <v>34.722222222222221</v>
      </c>
      <c r="S125" s="12">
        <v>44644</v>
      </c>
      <c r="T125" s="13">
        <v>71.33</v>
      </c>
      <c r="U125" s="10">
        <v>4103001477</v>
      </c>
      <c r="V125" s="10" t="s">
        <v>27</v>
      </c>
    </row>
    <row r="126" spans="1:22" ht="31.5" customHeight="1" x14ac:dyDescent="0.25">
      <c r="A126" s="10">
        <v>120</v>
      </c>
      <c r="B126" s="10">
        <v>695443</v>
      </c>
      <c r="C126" s="11" t="s">
        <v>159</v>
      </c>
      <c r="D126" s="10" t="s">
        <v>31</v>
      </c>
      <c r="E126" s="10" t="s">
        <v>26</v>
      </c>
      <c r="F126" s="12">
        <v>37655</v>
      </c>
      <c r="G126" s="10" t="s">
        <v>27</v>
      </c>
      <c r="H126" s="10" t="s">
        <v>44</v>
      </c>
      <c r="I126" s="13">
        <f>58+60+67</f>
        <v>185</v>
      </c>
      <c r="J126" s="10">
        <v>300</v>
      </c>
      <c r="K126" s="13">
        <f t="shared" si="3"/>
        <v>61.666666666666671</v>
      </c>
      <c r="L126" s="13">
        <v>85</v>
      </c>
      <c r="M126" s="10">
        <v>100</v>
      </c>
      <c r="N126" s="13">
        <f t="shared" si="4"/>
        <v>85</v>
      </c>
      <c r="O126" s="10" t="s">
        <v>29</v>
      </c>
      <c r="P126" s="10">
        <v>156</v>
      </c>
      <c r="Q126" s="10">
        <v>720</v>
      </c>
      <c r="R126" s="13">
        <f t="shared" si="5"/>
        <v>21.666666666666668</v>
      </c>
      <c r="S126" s="12">
        <v>44663</v>
      </c>
      <c r="T126" s="13">
        <v>54.78</v>
      </c>
      <c r="U126" s="10">
        <v>4112003297</v>
      </c>
      <c r="V126" s="10" t="s">
        <v>27</v>
      </c>
    </row>
    <row r="127" spans="1:22" ht="31.5" customHeight="1" x14ac:dyDescent="0.25">
      <c r="A127" s="10">
        <v>121</v>
      </c>
      <c r="B127" s="10">
        <v>186378</v>
      </c>
      <c r="C127" s="11" t="s">
        <v>160</v>
      </c>
      <c r="D127" s="10" t="s">
        <v>31</v>
      </c>
      <c r="E127" s="10" t="s">
        <v>26</v>
      </c>
      <c r="F127" s="12">
        <v>37377</v>
      </c>
      <c r="G127" s="10" t="s">
        <v>32</v>
      </c>
      <c r="H127" s="10" t="s">
        <v>44</v>
      </c>
      <c r="I127" s="13">
        <f>65+80+71</f>
        <v>216</v>
      </c>
      <c r="J127" s="10">
        <v>300</v>
      </c>
      <c r="K127" s="13">
        <f t="shared" si="3"/>
        <v>72</v>
      </c>
      <c r="L127" s="13">
        <v>84</v>
      </c>
      <c r="M127" s="10">
        <v>100</v>
      </c>
      <c r="N127" s="13">
        <f t="shared" si="4"/>
        <v>84</v>
      </c>
      <c r="O127" s="10" t="s">
        <v>29</v>
      </c>
      <c r="P127" s="10">
        <v>405</v>
      </c>
      <c r="Q127" s="10">
        <v>720</v>
      </c>
      <c r="R127" s="13">
        <f t="shared" si="5"/>
        <v>56.25</v>
      </c>
      <c r="S127" s="12">
        <v>44610</v>
      </c>
      <c r="T127" s="13">
        <v>87.91</v>
      </c>
      <c r="U127" s="10">
        <v>4101109387</v>
      </c>
      <c r="V127" s="10" t="s">
        <v>32</v>
      </c>
    </row>
    <row r="128" spans="1:22" ht="31.5" customHeight="1" x14ac:dyDescent="0.25">
      <c r="A128" s="10">
        <v>122</v>
      </c>
      <c r="B128" s="10">
        <v>73546</v>
      </c>
      <c r="C128" s="11" t="s">
        <v>161</v>
      </c>
      <c r="D128" s="10" t="s">
        <v>25</v>
      </c>
      <c r="E128" s="10" t="s">
        <v>26</v>
      </c>
      <c r="F128" s="12">
        <v>37098</v>
      </c>
      <c r="G128" s="10" t="s">
        <v>32</v>
      </c>
      <c r="H128" s="10" t="s">
        <v>28</v>
      </c>
      <c r="I128" s="13">
        <f>178+170+153</f>
        <v>501</v>
      </c>
      <c r="J128" s="10">
        <v>600</v>
      </c>
      <c r="K128" s="13">
        <f t="shared" si="3"/>
        <v>83.5</v>
      </c>
      <c r="L128" s="13">
        <v>176</v>
      </c>
      <c r="M128" s="10">
        <v>200</v>
      </c>
      <c r="N128" s="13">
        <f t="shared" si="4"/>
        <v>88</v>
      </c>
      <c r="O128" s="10" t="s">
        <v>29</v>
      </c>
      <c r="P128" s="10">
        <v>513</v>
      </c>
      <c r="Q128" s="10">
        <v>720</v>
      </c>
      <c r="R128" s="13">
        <f t="shared" si="5"/>
        <v>71.25</v>
      </c>
      <c r="S128" s="12">
        <v>44651</v>
      </c>
      <c r="T128" s="13">
        <v>95.2</v>
      </c>
      <c r="U128" s="10">
        <v>4101108056</v>
      </c>
      <c r="V128" s="10" t="s">
        <v>32</v>
      </c>
    </row>
    <row r="129" spans="1:22" ht="31.5" customHeight="1" x14ac:dyDescent="0.25">
      <c r="A129" s="10">
        <v>123</v>
      </c>
      <c r="B129" s="10">
        <v>186765</v>
      </c>
      <c r="C129" s="11" t="s">
        <v>162</v>
      </c>
      <c r="D129" s="10" t="s">
        <v>31</v>
      </c>
      <c r="E129" s="10" t="s">
        <v>26</v>
      </c>
      <c r="F129" s="12">
        <v>36179</v>
      </c>
      <c r="G129" s="10" t="s">
        <v>32</v>
      </c>
      <c r="H129" s="10" t="s">
        <v>44</v>
      </c>
      <c r="I129" s="13">
        <f>154+156+149</f>
        <v>459</v>
      </c>
      <c r="J129" s="10">
        <v>600</v>
      </c>
      <c r="K129" s="13">
        <f t="shared" si="3"/>
        <v>76.5</v>
      </c>
      <c r="L129" s="13">
        <v>179</v>
      </c>
      <c r="M129" s="10">
        <v>200</v>
      </c>
      <c r="N129" s="13">
        <f t="shared" si="4"/>
        <v>89.5</v>
      </c>
      <c r="O129" s="10" t="s">
        <v>29</v>
      </c>
      <c r="P129" s="10">
        <v>404</v>
      </c>
      <c r="Q129" s="10">
        <v>720</v>
      </c>
      <c r="R129" s="13">
        <f t="shared" si="5"/>
        <v>56.111111111111114</v>
      </c>
      <c r="S129" s="12">
        <v>44610</v>
      </c>
      <c r="T129" s="13">
        <v>87.82</v>
      </c>
      <c r="U129" s="10">
        <v>4109001952</v>
      </c>
      <c r="V129" s="10" t="s">
        <v>32</v>
      </c>
    </row>
    <row r="130" spans="1:22" ht="31.5" customHeight="1" x14ac:dyDescent="0.25">
      <c r="A130" s="10">
        <v>124</v>
      </c>
      <c r="B130" s="10">
        <v>185987</v>
      </c>
      <c r="C130" s="11" t="s">
        <v>163</v>
      </c>
      <c r="D130" s="10" t="s">
        <v>25</v>
      </c>
      <c r="E130" s="10" t="s">
        <v>26</v>
      </c>
      <c r="F130" s="12">
        <v>37094</v>
      </c>
      <c r="G130" s="10" t="s">
        <v>32</v>
      </c>
      <c r="H130" s="10" t="s">
        <v>44</v>
      </c>
      <c r="I130" s="13">
        <f>188+187+151</f>
        <v>526</v>
      </c>
      <c r="J130" s="10">
        <v>600</v>
      </c>
      <c r="K130" s="13">
        <f t="shared" si="3"/>
        <v>87.666666666666671</v>
      </c>
      <c r="L130" s="13">
        <v>138</v>
      </c>
      <c r="M130" s="10">
        <v>200</v>
      </c>
      <c r="N130" s="13">
        <f t="shared" si="4"/>
        <v>69</v>
      </c>
      <c r="O130" s="10" t="s">
        <v>29</v>
      </c>
      <c r="P130" s="10">
        <v>405</v>
      </c>
      <c r="Q130" s="10">
        <v>720</v>
      </c>
      <c r="R130" s="13">
        <f t="shared" si="5"/>
        <v>56.25</v>
      </c>
      <c r="S130" s="12">
        <v>44641</v>
      </c>
      <c r="T130" s="13">
        <v>87.91</v>
      </c>
      <c r="U130" s="10">
        <v>4103011163</v>
      </c>
      <c r="V130" s="10" t="s">
        <v>32</v>
      </c>
    </row>
    <row r="131" spans="1:22" ht="31.5" customHeight="1" x14ac:dyDescent="0.25">
      <c r="A131" s="10">
        <v>125</v>
      </c>
      <c r="B131" s="10">
        <v>184051</v>
      </c>
      <c r="C131" s="11" t="s">
        <v>164</v>
      </c>
      <c r="D131" s="10" t="s">
        <v>31</v>
      </c>
      <c r="E131" s="10" t="s">
        <v>66</v>
      </c>
      <c r="F131" s="12">
        <v>37167</v>
      </c>
      <c r="G131" s="10" t="s">
        <v>32</v>
      </c>
      <c r="H131" s="10" t="s">
        <v>44</v>
      </c>
      <c r="I131" s="13">
        <f>71+74+79</f>
        <v>224</v>
      </c>
      <c r="J131" s="10">
        <v>300</v>
      </c>
      <c r="K131" s="13">
        <f t="shared" si="3"/>
        <v>74.666666666666671</v>
      </c>
      <c r="L131" s="13">
        <v>89</v>
      </c>
      <c r="M131" s="10">
        <v>100</v>
      </c>
      <c r="N131" s="13">
        <f t="shared" si="4"/>
        <v>89</v>
      </c>
      <c r="O131" s="10" t="s">
        <v>29</v>
      </c>
      <c r="P131" s="10">
        <v>406</v>
      </c>
      <c r="Q131" s="10">
        <v>720</v>
      </c>
      <c r="R131" s="13">
        <f t="shared" si="5"/>
        <v>56.388888888888886</v>
      </c>
      <c r="S131" s="12">
        <v>44638</v>
      </c>
      <c r="T131" s="13">
        <v>88</v>
      </c>
      <c r="U131" s="10">
        <v>4114006576</v>
      </c>
      <c r="V131" s="10" t="s">
        <v>32</v>
      </c>
    </row>
    <row r="132" spans="1:22" ht="31.5" customHeight="1" x14ac:dyDescent="0.25">
      <c r="A132" s="10">
        <v>126</v>
      </c>
      <c r="B132" s="10">
        <v>85335</v>
      </c>
      <c r="C132" s="11" t="s">
        <v>165</v>
      </c>
      <c r="D132" s="10" t="s">
        <v>31</v>
      </c>
      <c r="E132" s="10" t="s">
        <v>26</v>
      </c>
      <c r="F132" s="12">
        <v>37448</v>
      </c>
      <c r="G132" s="10" t="s">
        <v>32</v>
      </c>
      <c r="H132" s="10" t="s">
        <v>28</v>
      </c>
      <c r="I132" s="13">
        <f>73+82+81</f>
        <v>236</v>
      </c>
      <c r="J132" s="10">
        <v>300</v>
      </c>
      <c r="K132" s="13">
        <f t="shared" si="3"/>
        <v>78.666666666666657</v>
      </c>
      <c r="L132" s="13">
        <v>85</v>
      </c>
      <c r="M132" s="10">
        <v>100</v>
      </c>
      <c r="N132" s="13">
        <f t="shared" si="4"/>
        <v>85</v>
      </c>
      <c r="O132" s="10" t="s">
        <v>29</v>
      </c>
      <c r="P132" s="10">
        <v>499</v>
      </c>
      <c r="Q132" s="10">
        <v>720</v>
      </c>
      <c r="R132" s="13">
        <f t="shared" si="5"/>
        <v>69.305555555555557</v>
      </c>
      <c r="S132" s="12">
        <v>44606</v>
      </c>
      <c r="T132" s="13">
        <v>94.44</v>
      </c>
      <c r="U132" s="10">
        <v>4101002195</v>
      </c>
      <c r="V132" s="10" t="s">
        <v>32</v>
      </c>
    </row>
    <row r="133" spans="1:22" ht="31.5" customHeight="1" x14ac:dyDescent="0.25">
      <c r="A133" s="10">
        <v>127</v>
      </c>
      <c r="B133" s="10">
        <v>845053</v>
      </c>
      <c r="C133" s="11" t="s">
        <v>166</v>
      </c>
      <c r="D133" s="10" t="s">
        <v>25</v>
      </c>
      <c r="E133" s="10" t="s">
        <v>26</v>
      </c>
      <c r="F133" s="12">
        <v>37837</v>
      </c>
      <c r="G133" s="10" t="s">
        <v>27</v>
      </c>
      <c r="H133" s="10" t="s">
        <v>55</v>
      </c>
      <c r="I133" s="13">
        <f>91.21+94.64+91.21</f>
        <v>277.06</v>
      </c>
      <c r="J133" s="10">
        <v>300</v>
      </c>
      <c r="K133" s="13">
        <f t="shared" si="3"/>
        <v>92.353333333333325</v>
      </c>
      <c r="L133" s="13">
        <v>91.72</v>
      </c>
      <c r="M133" s="10">
        <v>100</v>
      </c>
      <c r="N133" s="13">
        <f t="shared" si="4"/>
        <v>91.72</v>
      </c>
      <c r="O133" s="10" t="s">
        <v>29</v>
      </c>
      <c r="P133" s="10">
        <v>122</v>
      </c>
      <c r="Q133" s="10">
        <v>720</v>
      </c>
      <c r="R133" s="13">
        <f t="shared" si="5"/>
        <v>16.944444444444446</v>
      </c>
      <c r="S133" s="12">
        <v>44663</v>
      </c>
      <c r="T133" s="13">
        <v>45.19</v>
      </c>
      <c r="U133" s="10">
        <v>3701008103</v>
      </c>
      <c r="V133" s="10" t="s">
        <v>27</v>
      </c>
    </row>
    <row r="134" spans="1:22" ht="31.5" customHeight="1" x14ac:dyDescent="0.25">
      <c r="A134" s="10">
        <v>128</v>
      </c>
      <c r="B134" s="10">
        <v>432941</v>
      </c>
      <c r="C134" s="11" t="s">
        <v>167</v>
      </c>
      <c r="D134" s="10" t="s">
        <v>31</v>
      </c>
      <c r="E134" s="10" t="s">
        <v>26</v>
      </c>
      <c r="F134" s="12">
        <v>37711</v>
      </c>
      <c r="G134" s="10" t="s">
        <v>27</v>
      </c>
      <c r="H134" s="10" t="s">
        <v>28</v>
      </c>
      <c r="I134" s="13">
        <f>51+56+61</f>
        <v>168</v>
      </c>
      <c r="J134" s="10">
        <v>300</v>
      </c>
      <c r="K134" s="13">
        <f t="shared" si="3"/>
        <v>56.000000000000007</v>
      </c>
      <c r="L134" s="13">
        <v>79</v>
      </c>
      <c r="M134" s="10">
        <v>100</v>
      </c>
      <c r="N134" s="13">
        <f t="shared" si="4"/>
        <v>79</v>
      </c>
      <c r="O134" s="10" t="s">
        <v>29</v>
      </c>
      <c r="P134" s="10">
        <v>254</v>
      </c>
      <c r="Q134" s="10">
        <v>720</v>
      </c>
      <c r="R134" s="13">
        <f t="shared" si="5"/>
        <v>35.277777777777779</v>
      </c>
      <c r="S134" s="12">
        <v>44625</v>
      </c>
      <c r="T134" s="13">
        <v>71.87</v>
      </c>
      <c r="U134" s="10">
        <v>4114002723</v>
      </c>
      <c r="V134" s="10" t="s">
        <v>27</v>
      </c>
    </row>
    <row r="135" spans="1:22" ht="31.5" customHeight="1" x14ac:dyDescent="0.25">
      <c r="A135" s="10">
        <v>129</v>
      </c>
      <c r="B135" s="10">
        <v>189121</v>
      </c>
      <c r="C135" s="11" t="s">
        <v>168</v>
      </c>
      <c r="D135" s="10" t="s">
        <v>31</v>
      </c>
      <c r="E135" s="10" t="s">
        <v>26</v>
      </c>
      <c r="F135" s="12">
        <v>37385</v>
      </c>
      <c r="G135" s="10" t="s">
        <v>27</v>
      </c>
      <c r="H135" s="10" t="s">
        <v>28</v>
      </c>
      <c r="I135" s="13">
        <f>95+95+95</f>
        <v>285</v>
      </c>
      <c r="J135" s="10">
        <v>300</v>
      </c>
      <c r="K135" s="13">
        <f t="shared" ref="K135:K156" si="6">I135/J135*100</f>
        <v>95</v>
      </c>
      <c r="L135" s="13">
        <v>88</v>
      </c>
      <c r="M135" s="10">
        <v>100</v>
      </c>
      <c r="N135" s="13">
        <f t="shared" ref="N135:N156" si="7">L135/M135*100</f>
        <v>88</v>
      </c>
      <c r="O135" s="10" t="s">
        <v>29</v>
      </c>
      <c r="P135" s="10">
        <v>403</v>
      </c>
      <c r="Q135" s="10">
        <v>720</v>
      </c>
      <c r="R135" s="13">
        <f t="shared" ref="R135:R156" si="8">P135/Q135*100</f>
        <v>55.972222222222221</v>
      </c>
      <c r="S135" s="12">
        <v>44624</v>
      </c>
      <c r="T135" s="13">
        <v>87.74</v>
      </c>
      <c r="U135" s="10">
        <v>4118005101</v>
      </c>
      <c r="V135" s="10" t="s">
        <v>27</v>
      </c>
    </row>
    <row r="136" spans="1:22" ht="31.5" customHeight="1" x14ac:dyDescent="0.25">
      <c r="A136" s="10">
        <v>130</v>
      </c>
      <c r="B136" s="10">
        <v>488355</v>
      </c>
      <c r="C136" s="11" t="s">
        <v>169</v>
      </c>
      <c r="D136" s="10" t="s">
        <v>31</v>
      </c>
      <c r="E136" s="10" t="s">
        <v>26</v>
      </c>
      <c r="F136" s="12">
        <v>37655</v>
      </c>
      <c r="G136" s="10" t="s">
        <v>27</v>
      </c>
      <c r="H136" s="10" t="s">
        <v>28</v>
      </c>
      <c r="I136" s="13">
        <f>48+68+67</f>
        <v>183</v>
      </c>
      <c r="J136" s="10">
        <v>300</v>
      </c>
      <c r="K136" s="13">
        <f t="shared" si="6"/>
        <v>61</v>
      </c>
      <c r="L136" s="13">
        <v>81</v>
      </c>
      <c r="M136" s="10">
        <v>100</v>
      </c>
      <c r="N136" s="13">
        <f t="shared" si="7"/>
        <v>81</v>
      </c>
      <c r="O136" s="10" t="s">
        <v>29</v>
      </c>
      <c r="P136" s="10">
        <v>229</v>
      </c>
      <c r="Q136" s="10">
        <v>720</v>
      </c>
      <c r="R136" s="13">
        <f t="shared" si="8"/>
        <v>31.805555555555554</v>
      </c>
      <c r="S136" s="12">
        <v>44624</v>
      </c>
      <c r="T136" s="13">
        <v>68.33</v>
      </c>
      <c r="U136" s="10">
        <v>4102003337</v>
      </c>
      <c r="V136" s="10" t="s">
        <v>27</v>
      </c>
    </row>
    <row r="137" spans="1:22" ht="31.5" customHeight="1" x14ac:dyDescent="0.25">
      <c r="A137" s="10">
        <v>131</v>
      </c>
      <c r="B137" s="10">
        <v>92445</v>
      </c>
      <c r="C137" s="11" t="s">
        <v>170</v>
      </c>
      <c r="D137" s="10" t="s">
        <v>31</v>
      </c>
      <c r="E137" s="10" t="s">
        <v>26</v>
      </c>
      <c r="F137" s="12">
        <v>37160</v>
      </c>
      <c r="G137" s="10" t="s">
        <v>32</v>
      </c>
      <c r="H137" s="10" t="s">
        <v>28</v>
      </c>
      <c r="I137" s="13">
        <f>74+89+80</f>
        <v>243</v>
      </c>
      <c r="J137" s="10">
        <v>300</v>
      </c>
      <c r="K137" s="13">
        <f t="shared" si="6"/>
        <v>81</v>
      </c>
      <c r="L137" s="13">
        <v>97</v>
      </c>
      <c r="M137" s="10">
        <v>100</v>
      </c>
      <c r="N137" s="13">
        <f t="shared" si="7"/>
        <v>97</v>
      </c>
      <c r="O137" s="10" t="s">
        <v>29</v>
      </c>
      <c r="P137" s="10">
        <v>491</v>
      </c>
      <c r="Q137" s="10">
        <v>720</v>
      </c>
      <c r="R137" s="13">
        <f t="shared" si="8"/>
        <v>68.194444444444443</v>
      </c>
      <c r="S137" s="12">
        <v>44613</v>
      </c>
      <c r="T137" s="13">
        <v>93.97</v>
      </c>
      <c r="U137" s="10">
        <v>4103006197</v>
      </c>
      <c r="V137" s="10" t="s">
        <v>32</v>
      </c>
    </row>
    <row r="138" spans="1:22" ht="31.5" customHeight="1" x14ac:dyDescent="0.25">
      <c r="A138" s="10">
        <v>132</v>
      </c>
      <c r="B138" s="10">
        <v>223255</v>
      </c>
      <c r="C138" s="11" t="s">
        <v>171</v>
      </c>
      <c r="D138" s="10" t="s">
        <v>31</v>
      </c>
      <c r="E138" s="10" t="s">
        <v>26</v>
      </c>
      <c r="F138" s="12">
        <v>37850</v>
      </c>
      <c r="G138" s="10" t="s">
        <v>27</v>
      </c>
      <c r="H138" s="10" t="s">
        <v>28</v>
      </c>
      <c r="I138" s="13">
        <f>90+91+84</f>
        <v>265</v>
      </c>
      <c r="J138" s="10">
        <v>300</v>
      </c>
      <c r="K138" s="13">
        <f t="shared" si="6"/>
        <v>88.333333333333329</v>
      </c>
      <c r="L138" s="13">
        <v>97</v>
      </c>
      <c r="M138" s="10">
        <v>100</v>
      </c>
      <c r="N138" s="13">
        <f t="shared" si="7"/>
        <v>97</v>
      </c>
      <c r="O138" s="10" t="s">
        <v>29</v>
      </c>
      <c r="P138" s="10">
        <v>377</v>
      </c>
      <c r="Q138" s="10">
        <v>720</v>
      </c>
      <c r="R138" s="13">
        <f t="shared" si="8"/>
        <v>52.361111111111114</v>
      </c>
      <c r="S138" s="12">
        <v>44624</v>
      </c>
      <c r="T138" s="13">
        <v>85.5</v>
      </c>
      <c r="U138" s="10">
        <v>4110006342</v>
      </c>
      <c r="V138" s="10" t="s">
        <v>27</v>
      </c>
    </row>
    <row r="139" spans="1:22" ht="31.5" customHeight="1" x14ac:dyDescent="0.25">
      <c r="A139" s="10">
        <v>133</v>
      </c>
      <c r="B139" s="10">
        <v>478288</v>
      </c>
      <c r="C139" s="11" t="s">
        <v>172</v>
      </c>
      <c r="D139" s="10" t="s">
        <v>25</v>
      </c>
      <c r="E139" s="10" t="s">
        <v>26</v>
      </c>
      <c r="F139" s="12">
        <v>37685</v>
      </c>
      <c r="G139" s="10" t="s">
        <v>27</v>
      </c>
      <c r="H139" s="10" t="s">
        <v>55</v>
      </c>
      <c r="I139" s="13">
        <f>64+47+57</f>
        <v>168</v>
      </c>
      <c r="J139" s="10">
        <v>300</v>
      </c>
      <c r="K139" s="13">
        <f t="shared" si="6"/>
        <v>56.000000000000007</v>
      </c>
      <c r="L139" s="13">
        <v>70</v>
      </c>
      <c r="M139" s="10">
        <v>100</v>
      </c>
      <c r="N139" s="13">
        <f t="shared" si="7"/>
        <v>70</v>
      </c>
      <c r="O139" s="10" t="s">
        <v>29</v>
      </c>
      <c r="P139" s="10">
        <v>233</v>
      </c>
      <c r="Q139" s="10">
        <v>720</v>
      </c>
      <c r="R139" s="13">
        <f t="shared" si="8"/>
        <v>32.361111111111114</v>
      </c>
      <c r="S139" s="12">
        <v>44624</v>
      </c>
      <c r="T139" s="13">
        <v>68.930000000000007</v>
      </c>
      <c r="U139" s="10">
        <v>4101106295</v>
      </c>
      <c r="V139" s="10" t="s">
        <v>27</v>
      </c>
    </row>
    <row r="140" spans="1:22" ht="31.5" customHeight="1" x14ac:dyDescent="0.25">
      <c r="A140" s="10">
        <v>134</v>
      </c>
      <c r="B140" s="10">
        <v>409034</v>
      </c>
      <c r="C140" s="11" t="s">
        <v>173</v>
      </c>
      <c r="D140" s="10" t="s">
        <v>25</v>
      </c>
      <c r="E140" s="10" t="s">
        <v>26</v>
      </c>
      <c r="F140" s="12">
        <v>37548</v>
      </c>
      <c r="G140" s="10" t="s">
        <v>27</v>
      </c>
      <c r="H140" s="10" t="s">
        <v>55</v>
      </c>
      <c r="I140" s="13">
        <f>78+64+70</f>
        <v>212</v>
      </c>
      <c r="J140" s="10">
        <v>300</v>
      </c>
      <c r="K140" s="13">
        <f t="shared" si="6"/>
        <v>70.666666666666671</v>
      </c>
      <c r="L140" s="13">
        <v>79</v>
      </c>
      <c r="M140" s="10">
        <v>100</v>
      </c>
      <c r="N140" s="13">
        <f t="shared" si="7"/>
        <v>79</v>
      </c>
      <c r="O140" s="10" t="s">
        <v>29</v>
      </c>
      <c r="P140" s="10">
        <v>266</v>
      </c>
      <c r="Q140" s="10">
        <v>720</v>
      </c>
      <c r="R140" s="13">
        <f t="shared" si="8"/>
        <v>36.944444444444443</v>
      </c>
      <c r="S140" s="12">
        <v>44624</v>
      </c>
      <c r="T140" s="13">
        <v>73.45</v>
      </c>
      <c r="U140" s="10">
        <v>4109015203</v>
      </c>
      <c r="V140" s="10" t="s">
        <v>27</v>
      </c>
    </row>
    <row r="141" spans="1:22" ht="31.5" customHeight="1" x14ac:dyDescent="0.25">
      <c r="A141" s="10">
        <v>135</v>
      </c>
      <c r="B141" s="10">
        <v>202375</v>
      </c>
      <c r="C141" s="11" t="s">
        <v>174</v>
      </c>
      <c r="D141" s="10" t="s">
        <v>25</v>
      </c>
      <c r="E141" s="10" t="s">
        <v>26</v>
      </c>
      <c r="F141" s="12">
        <v>37708</v>
      </c>
      <c r="G141" s="10" t="s">
        <v>27</v>
      </c>
      <c r="H141" s="10" t="s">
        <v>48</v>
      </c>
      <c r="I141" s="13">
        <f>74+76+96</f>
        <v>246</v>
      </c>
      <c r="J141" s="10">
        <v>300</v>
      </c>
      <c r="K141" s="13">
        <f t="shared" si="6"/>
        <v>82</v>
      </c>
      <c r="L141" s="13">
        <v>92</v>
      </c>
      <c r="M141" s="10">
        <v>100</v>
      </c>
      <c r="N141" s="13">
        <f t="shared" si="7"/>
        <v>92</v>
      </c>
      <c r="O141" s="10" t="s">
        <v>29</v>
      </c>
      <c r="P141" s="10">
        <v>392</v>
      </c>
      <c r="Q141" s="10">
        <v>720</v>
      </c>
      <c r="R141" s="13">
        <f t="shared" si="8"/>
        <v>54.444444444444443</v>
      </c>
      <c r="S141" s="12">
        <v>44625</v>
      </c>
      <c r="T141" s="13">
        <v>86.81</v>
      </c>
      <c r="U141" s="10">
        <v>4117001667</v>
      </c>
      <c r="V141" s="10" t="s">
        <v>27</v>
      </c>
    </row>
    <row r="142" spans="1:22" ht="31.5" customHeight="1" x14ac:dyDescent="0.25">
      <c r="A142" s="10">
        <v>136</v>
      </c>
      <c r="B142" s="10">
        <v>97770</v>
      </c>
      <c r="C142" s="11" t="s">
        <v>175</v>
      </c>
      <c r="D142" s="10" t="s">
        <v>25</v>
      </c>
      <c r="E142" s="10" t="s">
        <v>26</v>
      </c>
      <c r="F142" s="12">
        <v>37436</v>
      </c>
      <c r="G142" s="10" t="s">
        <v>32</v>
      </c>
      <c r="H142" s="10" t="s">
        <v>28</v>
      </c>
      <c r="I142" s="13">
        <f>93+89+96</f>
        <v>278</v>
      </c>
      <c r="J142" s="10">
        <v>300</v>
      </c>
      <c r="K142" s="13">
        <f t="shared" si="6"/>
        <v>92.666666666666657</v>
      </c>
      <c r="L142" s="13">
        <v>95</v>
      </c>
      <c r="M142" s="10">
        <v>100</v>
      </c>
      <c r="N142" s="13">
        <f t="shared" si="7"/>
        <v>95</v>
      </c>
      <c r="O142" s="10" t="s">
        <v>29</v>
      </c>
      <c r="P142" s="10">
        <v>485</v>
      </c>
      <c r="Q142" s="10">
        <v>720</v>
      </c>
      <c r="R142" s="13">
        <f t="shared" si="8"/>
        <v>67.361111111111114</v>
      </c>
      <c r="S142" s="12">
        <v>44650</v>
      </c>
      <c r="T142" s="13">
        <v>93.61</v>
      </c>
      <c r="U142" s="10">
        <v>4112006187</v>
      </c>
      <c r="V142" s="10" t="s">
        <v>32</v>
      </c>
    </row>
    <row r="143" spans="1:22" ht="31.5" customHeight="1" x14ac:dyDescent="0.25">
      <c r="A143" s="10">
        <v>137</v>
      </c>
      <c r="B143" s="10">
        <v>67841</v>
      </c>
      <c r="C143" s="11" t="s">
        <v>176</v>
      </c>
      <c r="D143" s="10" t="s">
        <v>25</v>
      </c>
      <c r="E143" s="10" t="s">
        <v>26</v>
      </c>
      <c r="F143" s="12">
        <v>37683</v>
      </c>
      <c r="G143" s="10" t="s">
        <v>32</v>
      </c>
      <c r="H143" s="10" t="s">
        <v>28</v>
      </c>
      <c r="I143" s="13">
        <f>90+80+91</f>
        <v>261</v>
      </c>
      <c r="J143" s="10">
        <v>300</v>
      </c>
      <c r="K143" s="13">
        <f t="shared" si="6"/>
        <v>87</v>
      </c>
      <c r="L143" s="13">
        <v>88</v>
      </c>
      <c r="M143" s="10">
        <v>100</v>
      </c>
      <c r="N143" s="13">
        <f t="shared" si="7"/>
        <v>88</v>
      </c>
      <c r="O143" s="10" t="s">
        <v>29</v>
      </c>
      <c r="P143" s="10">
        <v>520</v>
      </c>
      <c r="Q143" s="10">
        <v>720</v>
      </c>
      <c r="R143" s="13">
        <f t="shared" si="8"/>
        <v>72.222222222222214</v>
      </c>
      <c r="S143" s="12">
        <v>44606</v>
      </c>
      <c r="T143" s="13">
        <v>95.56</v>
      </c>
      <c r="U143" s="10">
        <v>4114003728</v>
      </c>
      <c r="V143" s="10" t="s">
        <v>32</v>
      </c>
    </row>
    <row r="144" spans="1:22" ht="31.5" customHeight="1" x14ac:dyDescent="0.25">
      <c r="A144" s="10">
        <v>138</v>
      </c>
      <c r="B144" s="10">
        <v>605853</v>
      </c>
      <c r="C144" s="11" t="s">
        <v>177</v>
      </c>
      <c r="D144" s="10" t="s">
        <v>25</v>
      </c>
      <c r="E144" s="10" t="s">
        <v>26</v>
      </c>
      <c r="F144" s="12">
        <v>37687</v>
      </c>
      <c r="G144" s="10" t="s">
        <v>27</v>
      </c>
      <c r="H144" s="10" t="s">
        <v>28</v>
      </c>
      <c r="I144" s="13">
        <f>59+45+53</f>
        <v>157</v>
      </c>
      <c r="J144" s="10">
        <v>300</v>
      </c>
      <c r="K144" s="13">
        <f t="shared" si="6"/>
        <v>52.333333333333329</v>
      </c>
      <c r="L144" s="13">
        <v>60</v>
      </c>
      <c r="M144" s="10">
        <v>100</v>
      </c>
      <c r="N144" s="13">
        <f t="shared" si="7"/>
        <v>60</v>
      </c>
      <c r="O144" s="10" t="s">
        <v>29</v>
      </c>
      <c r="P144" s="10">
        <v>183</v>
      </c>
      <c r="Q144" s="10">
        <v>720</v>
      </c>
      <c r="R144" s="13">
        <f t="shared" si="8"/>
        <v>25.416666666666664</v>
      </c>
      <c r="S144" s="12">
        <v>44655</v>
      </c>
      <c r="T144" s="13">
        <v>60.58</v>
      </c>
      <c r="U144" s="10">
        <v>4109007690</v>
      </c>
      <c r="V144" s="10" t="s">
        <v>27</v>
      </c>
    </row>
    <row r="145" spans="1:22" ht="31.5" customHeight="1" x14ac:dyDescent="0.25">
      <c r="A145" s="10">
        <v>139</v>
      </c>
      <c r="B145" s="10">
        <v>416992</v>
      </c>
      <c r="C145" s="11" t="s">
        <v>178</v>
      </c>
      <c r="D145" s="10" t="s">
        <v>31</v>
      </c>
      <c r="E145" s="10" t="s">
        <v>26</v>
      </c>
      <c r="F145" s="12">
        <v>37383</v>
      </c>
      <c r="G145" s="10" t="s">
        <v>27</v>
      </c>
      <c r="H145" s="10" t="s">
        <v>28</v>
      </c>
      <c r="I145" s="13">
        <f>75+77+78</f>
        <v>230</v>
      </c>
      <c r="J145" s="10">
        <v>300</v>
      </c>
      <c r="K145" s="13">
        <f t="shared" si="6"/>
        <v>76.666666666666671</v>
      </c>
      <c r="L145" s="13">
        <v>90</v>
      </c>
      <c r="M145" s="10">
        <v>100</v>
      </c>
      <c r="N145" s="13">
        <f t="shared" si="7"/>
        <v>90</v>
      </c>
      <c r="O145" s="10" t="s">
        <v>29</v>
      </c>
      <c r="P145" s="10">
        <v>262</v>
      </c>
      <c r="Q145" s="10">
        <v>720</v>
      </c>
      <c r="R145" s="13">
        <f t="shared" si="8"/>
        <v>36.388888888888886</v>
      </c>
      <c r="S145" s="12">
        <v>44625</v>
      </c>
      <c r="T145" s="13">
        <v>72.930000000000007</v>
      </c>
      <c r="U145" s="10">
        <v>4109016304</v>
      </c>
      <c r="V145" s="10" t="s">
        <v>27</v>
      </c>
    </row>
    <row r="146" spans="1:22" ht="31.5" customHeight="1" x14ac:dyDescent="0.25">
      <c r="A146" s="10">
        <v>140</v>
      </c>
      <c r="B146" s="10">
        <v>552680</v>
      </c>
      <c r="C146" s="11" t="s">
        <v>179</v>
      </c>
      <c r="D146" s="10" t="s">
        <v>31</v>
      </c>
      <c r="E146" s="10" t="s">
        <v>26</v>
      </c>
      <c r="F146" s="12">
        <v>37728</v>
      </c>
      <c r="G146" s="10" t="s">
        <v>27</v>
      </c>
      <c r="H146" s="10" t="s">
        <v>55</v>
      </c>
      <c r="I146" s="13">
        <f>75+94+93</f>
        <v>262</v>
      </c>
      <c r="J146" s="10">
        <v>300</v>
      </c>
      <c r="K146" s="13">
        <f t="shared" si="6"/>
        <v>87.333333333333329</v>
      </c>
      <c r="L146" s="13">
        <v>98</v>
      </c>
      <c r="M146" s="10">
        <v>100</v>
      </c>
      <c r="N146" s="13">
        <f t="shared" si="7"/>
        <v>98</v>
      </c>
      <c r="O146" s="10" t="s">
        <v>29</v>
      </c>
      <c r="P146" s="10">
        <v>203</v>
      </c>
      <c r="Q146" s="10">
        <v>720</v>
      </c>
      <c r="R146" s="13">
        <f t="shared" si="8"/>
        <v>28.194444444444443</v>
      </c>
      <c r="S146" s="12">
        <v>44625</v>
      </c>
      <c r="T146" s="13">
        <v>64.19</v>
      </c>
      <c r="U146" s="10">
        <v>4101001433</v>
      </c>
      <c r="V146" s="10" t="s">
        <v>27</v>
      </c>
    </row>
    <row r="147" spans="1:22" ht="31.5" customHeight="1" x14ac:dyDescent="0.25">
      <c r="A147" s="10">
        <v>141</v>
      </c>
      <c r="B147" s="10">
        <v>367180</v>
      </c>
      <c r="C147" s="11" t="s">
        <v>180</v>
      </c>
      <c r="D147" s="10" t="s">
        <v>31</v>
      </c>
      <c r="E147" s="10" t="s">
        <v>26</v>
      </c>
      <c r="F147" s="12">
        <v>37080</v>
      </c>
      <c r="G147" s="10" t="s">
        <v>27</v>
      </c>
      <c r="H147" s="10" t="s">
        <v>28</v>
      </c>
      <c r="I147" s="13">
        <f>79+78+87</f>
        <v>244</v>
      </c>
      <c r="J147" s="10">
        <v>300</v>
      </c>
      <c r="K147" s="13">
        <f t="shared" si="6"/>
        <v>81.333333333333329</v>
      </c>
      <c r="L147" s="13">
        <v>90</v>
      </c>
      <c r="M147" s="10">
        <v>100</v>
      </c>
      <c r="N147" s="13">
        <f t="shared" si="7"/>
        <v>90</v>
      </c>
      <c r="O147" s="10" t="s">
        <v>29</v>
      </c>
      <c r="P147" s="10">
        <v>288</v>
      </c>
      <c r="Q147" s="10">
        <v>720</v>
      </c>
      <c r="R147" s="13">
        <f t="shared" si="8"/>
        <v>40</v>
      </c>
      <c r="S147" s="12">
        <v>44643</v>
      </c>
      <c r="T147" s="13">
        <v>76.19</v>
      </c>
      <c r="U147" s="10">
        <v>4104002008</v>
      </c>
      <c r="V147" s="10" t="s">
        <v>27</v>
      </c>
    </row>
    <row r="148" spans="1:22" ht="31.5" customHeight="1" x14ac:dyDescent="0.25">
      <c r="A148" s="10">
        <v>142</v>
      </c>
      <c r="B148" s="10">
        <v>202537</v>
      </c>
      <c r="C148" s="11" t="s">
        <v>181</v>
      </c>
      <c r="D148" s="10" t="s">
        <v>31</v>
      </c>
      <c r="E148" s="10" t="s">
        <v>26</v>
      </c>
      <c r="F148" s="12">
        <v>37356</v>
      </c>
      <c r="G148" s="10" t="s">
        <v>27</v>
      </c>
      <c r="H148" s="10" t="s">
        <v>55</v>
      </c>
      <c r="I148" s="13">
        <f>69+82+70</f>
        <v>221</v>
      </c>
      <c r="J148" s="10">
        <v>300</v>
      </c>
      <c r="K148" s="13">
        <f t="shared" si="6"/>
        <v>73.666666666666671</v>
      </c>
      <c r="L148" s="13">
        <v>93</v>
      </c>
      <c r="M148" s="10">
        <v>100</v>
      </c>
      <c r="N148" s="13">
        <f t="shared" si="7"/>
        <v>93</v>
      </c>
      <c r="O148" s="10" t="s">
        <v>29</v>
      </c>
      <c r="P148" s="10">
        <v>392</v>
      </c>
      <c r="Q148" s="10">
        <v>720</v>
      </c>
      <c r="R148" s="13">
        <f t="shared" si="8"/>
        <v>54.444444444444443</v>
      </c>
      <c r="S148" s="12">
        <v>44624</v>
      </c>
      <c r="T148" s="13">
        <v>86.81</v>
      </c>
      <c r="U148" s="10">
        <v>4111001329</v>
      </c>
      <c r="V148" s="10" t="s">
        <v>27</v>
      </c>
    </row>
    <row r="149" spans="1:22" ht="31.5" customHeight="1" x14ac:dyDescent="0.25">
      <c r="A149" s="10">
        <v>143</v>
      </c>
      <c r="B149" s="10">
        <v>69255</v>
      </c>
      <c r="C149" s="11" t="s">
        <v>182</v>
      </c>
      <c r="D149" s="10" t="s">
        <v>31</v>
      </c>
      <c r="E149" s="10" t="s">
        <v>66</v>
      </c>
      <c r="F149" s="12">
        <v>37471</v>
      </c>
      <c r="G149" s="10" t="s">
        <v>32</v>
      </c>
      <c r="H149" s="10" t="s">
        <v>28</v>
      </c>
      <c r="I149" s="13">
        <f>90+93+93</f>
        <v>276</v>
      </c>
      <c r="J149" s="10">
        <v>300</v>
      </c>
      <c r="K149" s="13">
        <f t="shared" si="6"/>
        <v>92</v>
      </c>
      <c r="L149" s="13">
        <v>90</v>
      </c>
      <c r="M149" s="10">
        <v>100</v>
      </c>
      <c r="N149" s="13">
        <f t="shared" si="7"/>
        <v>90</v>
      </c>
      <c r="O149" s="10" t="s">
        <v>29</v>
      </c>
      <c r="P149" s="10">
        <v>518</v>
      </c>
      <c r="Q149" s="10">
        <v>720</v>
      </c>
      <c r="R149" s="13">
        <f t="shared" si="8"/>
        <v>71.944444444444443</v>
      </c>
      <c r="S149" s="12">
        <v>44607</v>
      </c>
      <c r="T149" s="13">
        <v>95.46</v>
      </c>
      <c r="U149" s="10">
        <v>4115001458</v>
      </c>
      <c r="V149" s="10" t="s">
        <v>32</v>
      </c>
    </row>
    <row r="150" spans="1:22" ht="31.5" customHeight="1" x14ac:dyDescent="0.25">
      <c r="A150" s="10">
        <v>144</v>
      </c>
      <c r="B150" s="10">
        <v>254820</v>
      </c>
      <c r="C150" s="11" t="s">
        <v>183</v>
      </c>
      <c r="D150" s="10" t="s">
        <v>31</v>
      </c>
      <c r="E150" s="10" t="s">
        <v>26</v>
      </c>
      <c r="F150" s="12">
        <v>37757</v>
      </c>
      <c r="G150" s="10" t="s">
        <v>27</v>
      </c>
      <c r="H150" s="10" t="s">
        <v>28</v>
      </c>
      <c r="I150" s="13">
        <f>77+88+95</f>
        <v>260</v>
      </c>
      <c r="J150" s="10">
        <v>300</v>
      </c>
      <c r="K150" s="13">
        <f t="shared" si="6"/>
        <v>86.666666666666671</v>
      </c>
      <c r="L150" s="13">
        <v>89</v>
      </c>
      <c r="M150" s="10">
        <v>100</v>
      </c>
      <c r="N150" s="13">
        <f t="shared" si="7"/>
        <v>89</v>
      </c>
      <c r="O150" s="10" t="s">
        <v>29</v>
      </c>
      <c r="P150" s="10">
        <v>355</v>
      </c>
      <c r="Q150" s="10">
        <v>720</v>
      </c>
      <c r="R150" s="13">
        <f t="shared" si="8"/>
        <v>49.305555555555557</v>
      </c>
      <c r="S150" s="12">
        <v>44624</v>
      </c>
      <c r="T150" s="13">
        <v>83.43</v>
      </c>
      <c r="U150" s="10">
        <v>4109006279</v>
      </c>
      <c r="V150" s="10" t="s">
        <v>27</v>
      </c>
    </row>
    <row r="151" spans="1:22" ht="31.5" customHeight="1" x14ac:dyDescent="0.25">
      <c r="A151" s="10">
        <v>145</v>
      </c>
      <c r="B151" s="10">
        <v>515277</v>
      </c>
      <c r="C151" s="11" t="s">
        <v>184</v>
      </c>
      <c r="D151" s="10" t="s">
        <v>31</v>
      </c>
      <c r="E151" s="10" t="s">
        <v>26</v>
      </c>
      <c r="F151" s="12">
        <v>37704</v>
      </c>
      <c r="G151" s="10" t="s">
        <v>27</v>
      </c>
      <c r="H151" s="10" t="s">
        <v>28</v>
      </c>
      <c r="I151" s="13">
        <f>60+66+70</f>
        <v>196</v>
      </c>
      <c r="J151" s="10">
        <v>300</v>
      </c>
      <c r="K151" s="13">
        <f t="shared" si="6"/>
        <v>65.333333333333329</v>
      </c>
      <c r="L151" s="13">
        <v>76</v>
      </c>
      <c r="M151" s="10">
        <v>100</v>
      </c>
      <c r="N151" s="13">
        <f t="shared" si="7"/>
        <v>76</v>
      </c>
      <c r="O151" s="10" t="s">
        <v>29</v>
      </c>
      <c r="P151" s="10">
        <v>217</v>
      </c>
      <c r="Q151" s="10">
        <v>720</v>
      </c>
      <c r="R151" s="13">
        <f t="shared" si="8"/>
        <v>30.138888888888886</v>
      </c>
      <c r="S151" s="12">
        <v>44644</v>
      </c>
      <c r="T151" s="13">
        <v>66.5</v>
      </c>
      <c r="U151" s="10">
        <v>4108001870</v>
      </c>
      <c r="V151" s="10" t="s">
        <v>27</v>
      </c>
    </row>
    <row r="152" spans="1:22" ht="31.5" customHeight="1" x14ac:dyDescent="0.25">
      <c r="A152" s="10">
        <v>146</v>
      </c>
      <c r="B152" s="10">
        <v>554279</v>
      </c>
      <c r="C152" s="11" t="s">
        <v>185</v>
      </c>
      <c r="D152" s="10" t="s">
        <v>25</v>
      </c>
      <c r="E152" s="10" t="s">
        <v>26</v>
      </c>
      <c r="F152" s="12">
        <v>36351</v>
      </c>
      <c r="G152" s="10" t="s">
        <v>27</v>
      </c>
      <c r="H152" s="10" t="s">
        <v>28</v>
      </c>
      <c r="I152" s="13">
        <f>176+180+163</f>
        <v>519</v>
      </c>
      <c r="J152" s="10">
        <v>600</v>
      </c>
      <c r="K152" s="13">
        <f t="shared" si="6"/>
        <v>86.5</v>
      </c>
      <c r="L152" s="13">
        <v>188</v>
      </c>
      <c r="M152" s="10">
        <v>200</v>
      </c>
      <c r="N152" s="13">
        <f t="shared" si="7"/>
        <v>94</v>
      </c>
      <c r="O152" s="10" t="s">
        <v>29</v>
      </c>
      <c r="P152" s="10">
        <v>202</v>
      </c>
      <c r="Q152" s="10">
        <v>720</v>
      </c>
      <c r="R152" s="13">
        <f t="shared" si="8"/>
        <v>28.055555555555557</v>
      </c>
      <c r="S152" s="12">
        <v>44644</v>
      </c>
      <c r="T152" s="13">
        <v>64.03</v>
      </c>
      <c r="U152" s="10">
        <v>4114002611</v>
      </c>
      <c r="V152" s="10" t="s">
        <v>27</v>
      </c>
    </row>
    <row r="153" spans="1:22" ht="31.5" customHeight="1" x14ac:dyDescent="0.25">
      <c r="A153" s="10">
        <v>147</v>
      </c>
      <c r="B153" s="10">
        <v>65375</v>
      </c>
      <c r="C153" s="11" t="s">
        <v>186</v>
      </c>
      <c r="D153" s="10" t="s">
        <v>25</v>
      </c>
      <c r="E153" s="10" t="s">
        <v>26</v>
      </c>
      <c r="F153" s="12">
        <v>37252</v>
      </c>
      <c r="G153" s="10" t="s">
        <v>32</v>
      </c>
      <c r="H153" s="10" t="s">
        <v>28</v>
      </c>
      <c r="I153" s="13">
        <f>75+85+92</f>
        <v>252</v>
      </c>
      <c r="J153" s="10">
        <v>300</v>
      </c>
      <c r="K153" s="13">
        <f t="shared" si="6"/>
        <v>84</v>
      </c>
      <c r="L153" s="13">
        <v>82</v>
      </c>
      <c r="M153" s="10">
        <v>100</v>
      </c>
      <c r="N153" s="13">
        <f t="shared" si="7"/>
        <v>82</v>
      </c>
      <c r="O153" s="10" t="s">
        <v>29</v>
      </c>
      <c r="P153" s="10">
        <v>523</v>
      </c>
      <c r="Q153" s="10">
        <v>720</v>
      </c>
      <c r="R153" s="13">
        <f t="shared" si="8"/>
        <v>72.638888888888886</v>
      </c>
      <c r="S153" s="12">
        <v>44606</v>
      </c>
      <c r="T153" s="13">
        <v>95.71</v>
      </c>
      <c r="U153" s="10">
        <v>4104001496</v>
      </c>
      <c r="V153" s="10" t="s">
        <v>32</v>
      </c>
    </row>
    <row r="154" spans="1:22" ht="31.5" customHeight="1" x14ac:dyDescent="0.25">
      <c r="A154" s="10">
        <v>148</v>
      </c>
      <c r="B154" s="10">
        <v>527851</v>
      </c>
      <c r="C154" s="11" t="s">
        <v>187</v>
      </c>
      <c r="D154" s="10" t="s">
        <v>25</v>
      </c>
      <c r="E154" s="10" t="s">
        <v>26</v>
      </c>
      <c r="F154" s="12">
        <v>38209</v>
      </c>
      <c r="G154" s="10" t="s">
        <v>27</v>
      </c>
      <c r="H154" s="10" t="s">
        <v>44</v>
      </c>
      <c r="I154" s="13">
        <f>74+84+83</f>
        <v>241</v>
      </c>
      <c r="J154" s="10">
        <v>300</v>
      </c>
      <c r="K154" s="13">
        <f t="shared" si="6"/>
        <v>80.333333333333329</v>
      </c>
      <c r="L154" s="13">
        <v>84</v>
      </c>
      <c r="M154" s="10">
        <v>100</v>
      </c>
      <c r="N154" s="13">
        <f t="shared" si="7"/>
        <v>84</v>
      </c>
      <c r="O154" s="10" t="s">
        <v>29</v>
      </c>
      <c r="P154" s="10">
        <v>212</v>
      </c>
      <c r="Q154" s="10">
        <v>720</v>
      </c>
      <c r="R154" s="13">
        <f t="shared" si="8"/>
        <v>29.444444444444446</v>
      </c>
      <c r="S154" s="12">
        <v>44624</v>
      </c>
      <c r="T154" s="13">
        <v>65.69</v>
      </c>
      <c r="U154" s="10">
        <v>4114002036</v>
      </c>
      <c r="V154" s="10" t="s">
        <v>27</v>
      </c>
    </row>
    <row r="155" spans="1:22" ht="31.5" customHeight="1" x14ac:dyDescent="0.25">
      <c r="A155" s="10">
        <v>149</v>
      </c>
      <c r="B155" s="10">
        <v>487907</v>
      </c>
      <c r="C155" s="11" t="s">
        <v>188</v>
      </c>
      <c r="D155" s="10" t="s">
        <v>25</v>
      </c>
      <c r="E155" s="10" t="s">
        <v>26</v>
      </c>
      <c r="F155" s="12">
        <v>37544</v>
      </c>
      <c r="G155" s="10" t="s">
        <v>27</v>
      </c>
      <c r="H155" s="10" t="s">
        <v>55</v>
      </c>
      <c r="I155" s="13">
        <f>72+66+66</f>
        <v>204</v>
      </c>
      <c r="J155" s="10">
        <v>300</v>
      </c>
      <c r="K155" s="13">
        <f t="shared" si="6"/>
        <v>68</v>
      </c>
      <c r="L155" s="13">
        <v>84</v>
      </c>
      <c r="M155" s="10">
        <v>100</v>
      </c>
      <c r="N155" s="13">
        <f t="shared" si="7"/>
        <v>84</v>
      </c>
      <c r="O155" s="10" t="s">
        <v>29</v>
      </c>
      <c r="P155" s="10">
        <v>229</v>
      </c>
      <c r="Q155" s="10">
        <v>720</v>
      </c>
      <c r="R155" s="13">
        <f t="shared" si="8"/>
        <v>31.805555555555554</v>
      </c>
      <c r="S155" s="12">
        <v>44643</v>
      </c>
      <c r="T155" s="13">
        <v>68.33</v>
      </c>
      <c r="U155" s="10">
        <v>4114001319</v>
      </c>
      <c r="V155" s="10" t="s">
        <v>27</v>
      </c>
    </row>
    <row r="156" spans="1:22" ht="31.5" customHeight="1" x14ac:dyDescent="0.25">
      <c r="A156" s="10">
        <v>150</v>
      </c>
      <c r="B156" s="10">
        <v>94378</v>
      </c>
      <c r="C156" s="11" t="s">
        <v>189</v>
      </c>
      <c r="D156" s="10" t="s">
        <v>25</v>
      </c>
      <c r="E156" s="10" t="s">
        <v>26</v>
      </c>
      <c r="F156" s="12">
        <v>36939</v>
      </c>
      <c r="G156" s="10" t="s">
        <v>32</v>
      </c>
      <c r="H156" s="10" t="s">
        <v>28</v>
      </c>
      <c r="I156" s="13">
        <f>184+176+155</f>
        <v>515</v>
      </c>
      <c r="J156" s="10">
        <v>600</v>
      </c>
      <c r="K156" s="13">
        <f t="shared" si="6"/>
        <v>85.833333333333329</v>
      </c>
      <c r="L156" s="13">
        <v>179</v>
      </c>
      <c r="M156" s="10">
        <v>200</v>
      </c>
      <c r="N156" s="13">
        <f t="shared" si="7"/>
        <v>89.5</v>
      </c>
      <c r="O156" s="10" t="s">
        <v>29</v>
      </c>
      <c r="P156" s="10">
        <v>489</v>
      </c>
      <c r="Q156" s="10">
        <v>720</v>
      </c>
      <c r="R156" s="13">
        <f t="shared" si="8"/>
        <v>67.916666666666671</v>
      </c>
      <c r="S156" s="12">
        <v>44639</v>
      </c>
      <c r="T156" s="13">
        <v>93.85</v>
      </c>
      <c r="U156" s="10">
        <v>4112012099</v>
      </c>
      <c r="V156" s="10" t="s">
        <v>32</v>
      </c>
    </row>
  </sheetData>
  <mergeCells count="2">
    <mergeCell ref="B1:Q1"/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workbookViewId="0">
      <selection activeCell="E13" sqref="E13"/>
    </sheetView>
  </sheetViews>
  <sheetFormatPr defaultRowHeight="15" x14ac:dyDescent="0.2"/>
  <cols>
    <col min="1" max="1" width="5.140625" style="1" bestFit="1" customWidth="1"/>
    <col min="2" max="2" width="12.5703125" style="4" bestFit="1" customWidth="1"/>
    <col min="3" max="3" width="39" style="4" bestFit="1" customWidth="1"/>
    <col min="4" max="4" width="10.28515625" style="1" bestFit="1" customWidth="1"/>
    <col min="5" max="5" width="39" style="4" bestFit="1" customWidth="1"/>
    <col min="6" max="6" width="9.140625" style="4" bestFit="1" customWidth="1"/>
    <col min="7" max="7" width="7.140625" style="1" bestFit="1" customWidth="1"/>
    <col min="8" max="8" width="13" style="41" bestFit="1" customWidth="1"/>
    <col min="9" max="9" width="15.42578125" style="4" bestFit="1" customWidth="1"/>
    <col min="10" max="10" width="12" style="1" bestFit="1" customWidth="1"/>
    <col min="11" max="11" width="13.140625" style="4" hidden="1" customWidth="1"/>
    <col min="12" max="12" width="8.28515625" style="42" hidden="1" customWidth="1"/>
    <col min="13" max="13" width="13.140625" style="4" hidden="1" customWidth="1"/>
    <col min="14" max="14" width="7.140625" style="4" hidden="1" customWidth="1"/>
    <col min="15" max="15" width="13.140625" style="4" bestFit="1" customWidth="1"/>
    <col min="16" max="16" width="7.7109375" style="4" bestFit="1" customWidth="1"/>
    <col min="17" max="17" width="13" style="43" bestFit="1" customWidth="1"/>
    <col min="18" max="18" width="14.28515625" style="4" bestFit="1" customWidth="1"/>
    <col min="19" max="19" width="9" style="4" bestFit="1" customWidth="1"/>
    <col min="20" max="21" width="9.140625" style="4"/>
    <col min="22" max="22" width="11" style="4" bestFit="1" customWidth="1"/>
    <col min="23" max="16384" width="9.140625" style="4"/>
  </cols>
  <sheetData>
    <row r="1" spans="1:20" ht="15.75" x14ac:dyDescent="0.25">
      <c r="A1" s="15" t="s">
        <v>190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0" x14ac:dyDescent="0.2">
      <c r="A2" s="16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7">
        <v>8</v>
      </c>
      <c r="I2" s="16">
        <v>9</v>
      </c>
      <c r="J2" s="16">
        <v>10</v>
      </c>
      <c r="K2" s="16">
        <v>11</v>
      </c>
      <c r="L2" s="18">
        <v>12</v>
      </c>
      <c r="M2" s="16">
        <v>13</v>
      </c>
      <c r="N2" s="16">
        <v>14</v>
      </c>
      <c r="O2" s="16">
        <v>15</v>
      </c>
      <c r="P2" s="16">
        <v>16</v>
      </c>
      <c r="Q2" s="17">
        <v>17</v>
      </c>
      <c r="R2" s="16">
        <v>18</v>
      </c>
      <c r="S2" s="16">
        <v>19</v>
      </c>
    </row>
    <row r="3" spans="1:20" s="22" customFormat="1" ht="185.25" x14ac:dyDescent="0.25">
      <c r="A3" s="19" t="s">
        <v>191</v>
      </c>
      <c r="B3" s="19" t="s">
        <v>192</v>
      </c>
      <c r="C3" s="8" t="s">
        <v>193</v>
      </c>
      <c r="D3" s="8" t="s">
        <v>194</v>
      </c>
      <c r="E3" s="8" t="s">
        <v>195</v>
      </c>
      <c r="F3" s="8" t="s">
        <v>196</v>
      </c>
      <c r="G3" s="19" t="s">
        <v>197</v>
      </c>
      <c r="H3" s="20" t="s">
        <v>198</v>
      </c>
      <c r="I3" s="8" t="s">
        <v>8</v>
      </c>
      <c r="J3" s="8" t="s">
        <v>9</v>
      </c>
      <c r="K3" s="19" t="s">
        <v>199</v>
      </c>
      <c r="L3" s="19" t="s">
        <v>200</v>
      </c>
      <c r="M3" s="19" t="s">
        <v>201</v>
      </c>
      <c r="N3" s="19" t="s">
        <v>202</v>
      </c>
      <c r="O3" s="19" t="s">
        <v>203</v>
      </c>
      <c r="P3" s="19" t="s">
        <v>204</v>
      </c>
      <c r="Q3" s="21" t="s">
        <v>205</v>
      </c>
      <c r="R3" s="8" t="s">
        <v>206</v>
      </c>
      <c r="S3" s="19" t="s">
        <v>23</v>
      </c>
    </row>
    <row r="4" spans="1:20" ht="15.75" x14ac:dyDescent="0.25">
      <c r="A4" s="16">
        <v>1</v>
      </c>
      <c r="B4" s="23" t="s">
        <v>207</v>
      </c>
      <c r="C4" s="23" t="s">
        <v>208</v>
      </c>
      <c r="D4" s="16">
        <v>91921</v>
      </c>
      <c r="E4" s="23" t="s">
        <v>209</v>
      </c>
      <c r="F4" s="23" t="s">
        <v>25</v>
      </c>
      <c r="G4" s="16" t="s">
        <v>26</v>
      </c>
      <c r="H4" s="24">
        <v>37937</v>
      </c>
      <c r="I4" s="23" t="s">
        <v>32</v>
      </c>
      <c r="J4" s="16" t="s">
        <v>210</v>
      </c>
      <c r="K4" s="25">
        <f>89+89+86</f>
        <v>264</v>
      </c>
      <c r="L4" s="26">
        <f t="shared" ref="L4:L15" si="0">K4/300*100</f>
        <v>88</v>
      </c>
      <c r="M4" s="25">
        <v>83</v>
      </c>
      <c r="N4" s="25">
        <f t="shared" ref="N4:N15" si="1">M4/100*100</f>
        <v>83</v>
      </c>
      <c r="O4" s="25">
        <v>490</v>
      </c>
      <c r="P4" s="23">
        <v>94.78</v>
      </c>
      <c r="Q4" s="27">
        <v>44893</v>
      </c>
      <c r="R4" s="23">
        <v>4128040115</v>
      </c>
      <c r="S4" s="23">
        <v>450000</v>
      </c>
      <c r="T4" s="28"/>
    </row>
    <row r="5" spans="1:20" ht="15.75" x14ac:dyDescent="0.25">
      <c r="A5" s="16">
        <v>2</v>
      </c>
      <c r="B5" s="23" t="s">
        <v>207</v>
      </c>
      <c r="C5" s="23" t="s">
        <v>208</v>
      </c>
      <c r="D5" s="16">
        <v>737534</v>
      </c>
      <c r="E5" s="29" t="s">
        <v>211</v>
      </c>
      <c r="F5" s="23" t="s">
        <v>31</v>
      </c>
      <c r="G5" s="16" t="s">
        <v>26</v>
      </c>
      <c r="H5" s="24">
        <v>36268</v>
      </c>
      <c r="I5" s="23" t="s">
        <v>212</v>
      </c>
      <c r="J5" s="16" t="s">
        <v>210</v>
      </c>
      <c r="K5" s="25">
        <f>76+76+90</f>
        <v>242</v>
      </c>
      <c r="L5" s="26">
        <f t="shared" si="0"/>
        <v>80.666666666666657</v>
      </c>
      <c r="M5" s="25">
        <v>67</v>
      </c>
      <c r="N5" s="25">
        <f t="shared" si="1"/>
        <v>67</v>
      </c>
      <c r="O5" s="25">
        <v>144</v>
      </c>
      <c r="P5" s="25">
        <v>57.97</v>
      </c>
      <c r="Q5" s="27">
        <v>44894</v>
      </c>
      <c r="R5" s="23">
        <v>4114050466</v>
      </c>
      <c r="S5" s="23"/>
      <c r="T5" s="28"/>
    </row>
    <row r="6" spans="1:20" ht="15.75" x14ac:dyDescent="0.25">
      <c r="A6" s="16">
        <v>3</v>
      </c>
      <c r="B6" s="23" t="s">
        <v>207</v>
      </c>
      <c r="C6" s="23" t="s">
        <v>208</v>
      </c>
      <c r="D6" s="16">
        <v>111886</v>
      </c>
      <c r="E6" s="23" t="s">
        <v>213</v>
      </c>
      <c r="F6" s="23" t="s">
        <v>31</v>
      </c>
      <c r="G6" s="16" t="s">
        <v>26</v>
      </c>
      <c r="H6" s="24">
        <v>38019</v>
      </c>
      <c r="I6" s="23" t="s">
        <v>32</v>
      </c>
      <c r="J6" s="16" t="s">
        <v>214</v>
      </c>
      <c r="K6" s="23">
        <f>96.48+99.34+91.63</f>
        <v>287.45</v>
      </c>
      <c r="L6" s="26">
        <f t="shared" si="0"/>
        <v>95.816666666666663</v>
      </c>
      <c r="M6" s="23">
        <v>95.12</v>
      </c>
      <c r="N6" s="25">
        <f t="shared" si="1"/>
        <v>95.12</v>
      </c>
      <c r="O6" s="25">
        <v>466</v>
      </c>
      <c r="P6" s="23">
        <v>93.63</v>
      </c>
      <c r="Q6" s="27">
        <v>44893</v>
      </c>
      <c r="R6" s="23">
        <v>4129040135</v>
      </c>
      <c r="S6" s="23">
        <v>450000</v>
      </c>
      <c r="T6" s="28"/>
    </row>
    <row r="7" spans="1:20" ht="15.75" x14ac:dyDescent="0.25">
      <c r="A7" s="16">
        <v>4</v>
      </c>
      <c r="B7" s="23" t="s">
        <v>207</v>
      </c>
      <c r="C7" s="23" t="s">
        <v>208</v>
      </c>
      <c r="D7" s="16">
        <v>89926</v>
      </c>
      <c r="E7" s="23" t="s">
        <v>215</v>
      </c>
      <c r="F7" s="23" t="s">
        <v>31</v>
      </c>
      <c r="G7" s="16" t="s">
        <v>26</v>
      </c>
      <c r="H7" s="24">
        <v>37935</v>
      </c>
      <c r="I7" s="23" t="s">
        <v>32</v>
      </c>
      <c r="J7" s="16" t="s">
        <v>210</v>
      </c>
      <c r="K7" s="25">
        <f>94.84+96.27+95.98</f>
        <v>287.09000000000003</v>
      </c>
      <c r="L7" s="26">
        <f t="shared" si="0"/>
        <v>95.696666666666673</v>
      </c>
      <c r="M7" s="25">
        <v>97.28</v>
      </c>
      <c r="N7" s="25">
        <f t="shared" si="1"/>
        <v>97.28</v>
      </c>
      <c r="O7" s="25">
        <v>492</v>
      </c>
      <c r="P7" s="25">
        <v>94.87</v>
      </c>
      <c r="Q7" s="27">
        <v>44893</v>
      </c>
      <c r="R7" s="23">
        <v>4103010222</v>
      </c>
      <c r="S7" s="23">
        <v>450000</v>
      </c>
      <c r="T7" s="28"/>
    </row>
    <row r="8" spans="1:20" ht="15.75" x14ac:dyDescent="0.25">
      <c r="A8" s="16">
        <v>5</v>
      </c>
      <c r="B8" s="23" t="s">
        <v>207</v>
      </c>
      <c r="C8" s="23" t="s">
        <v>208</v>
      </c>
      <c r="D8" s="16">
        <v>84700</v>
      </c>
      <c r="E8" s="23" t="s">
        <v>216</v>
      </c>
      <c r="F8" s="23" t="s">
        <v>31</v>
      </c>
      <c r="G8" s="16" t="s">
        <v>26</v>
      </c>
      <c r="H8" s="24">
        <v>37685</v>
      </c>
      <c r="I8" s="23" t="s">
        <v>32</v>
      </c>
      <c r="J8" s="16" t="s">
        <v>217</v>
      </c>
      <c r="K8" s="25">
        <f>86+84+99</f>
        <v>269</v>
      </c>
      <c r="L8" s="26">
        <f t="shared" si="0"/>
        <v>89.666666666666657</v>
      </c>
      <c r="M8" s="25">
        <v>96</v>
      </c>
      <c r="N8" s="25">
        <f t="shared" si="1"/>
        <v>96</v>
      </c>
      <c r="O8" s="25">
        <v>499</v>
      </c>
      <c r="P8" s="25">
        <v>95.18</v>
      </c>
      <c r="Q8" s="27">
        <v>44867</v>
      </c>
      <c r="R8" s="23">
        <v>4114030319</v>
      </c>
      <c r="S8" s="23">
        <v>450000</v>
      </c>
      <c r="T8" s="28"/>
    </row>
    <row r="9" spans="1:20" ht="15.75" x14ac:dyDescent="0.25">
      <c r="A9" s="16">
        <v>6</v>
      </c>
      <c r="B9" s="23" t="s">
        <v>207</v>
      </c>
      <c r="C9" s="23" t="s">
        <v>208</v>
      </c>
      <c r="D9" s="16">
        <v>78779</v>
      </c>
      <c r="E9" s="23" t="s">
        <v>218</v>
      </c>
      <c r="F9" s="23" t="s">
        <v>31</v>
      </c>
      <c r="G9" s="16" t="s">
        <v>26</v>
      </c>
      <c r="H9" s="24">
        <v>38438</v>
      </c>
      <c r="I9" s="23" t="s">
        <v>32</v>
      </c>
      <c r="J9" s="16" t="s">
        <v>210</v>
      </c>
      <c r="K9" s="25">
        <f>93+95+96</f>
        <v>284</v>
      </c>
      <c r="L9" s="26">
        <f t="shared" si="0"/>
        <v>94.666666666666671</v>
      </c>
      <c r="M9" s="25">
        <v>92</v>
      </c>
      <c r="N9" s="25">
        <f t="shared" si="1"/>
        <v>92</v>
      </c>
      <c r="O9" s="25">
        <v>507</v>
      </c>
      <c r="P9" s="25">
        <v>95.53</v>
      </c>
      <c r="Q9" s="27">
        <v>44868</v>
      </c>
      <c r="R9" s="23">
        <v>4101190068</v>
      </c>
      <c r="S9" s="23">
        <v>450000</v>
      </c>
      <c r="T9" s="28"/>
    </row>
    <row r="10" spans="1:20" x14ac:dyDescent="0.2">
      <c r="A10" s="16">
        <v>7</v>
      </c>
      <c r="B10" s="23" t="s">
        <v>207</v>
      </c>
      <c r="C10" s="23" t="s">
        <v>208</v>
      </c>
      <c r="D10" s="16">
        <v>191313</v>
      </c>
      <c r="E10" s="23" t="s">
        <v>219</v>
      </c>
      <c r="F10" s="23" t="s">
        <v>31</v>
      </c>
      <c r="G10" s="16" t="s">
        <v>26</v>
      </c>
      <c r="H10" s="24">
        <v>37248</v>
      </c>
      <c r="I10" s="23" t="s">
        <v>32</v>
      </c>
      <c r="J10" s="16" t="s">
        <v>44</v>
      </c>
      <c r="K10" s="25">
        <f>69+59+68</f>
        <v>196</v>
      </c>
      <c r="L10" s="26">
        <f t="shared" si="0"/>
        <v>65.333333333333329</v>
      </c>
      <c r="M10" s="25">
        <v>76</v>
      </c>
      <c r="N10" s="25">
        <f t="shared" si="1"/>
        <v>76</v>
      </c>
      <c r="O10" s="25">
        <v>389</v>
      </c>
      <c r="P10" s="25">
        <v>89.1</v>
      </c>
      <c r="Q10" s="27">
        <v>44865</v>
      </c>
      <c r="R10" s="23">
        <v>4101020132</v>
      </c>
      <c r="S10" s="23">
        <v>450000</v>
      </c>
    </row>
    <row r="11" spans="1:20" x14ac:dyDescent="0.2">
      <c r="A11" s="16">
        <v>8</v>
      </c>
      <c r="B11" s="23" t="s">
        <v>207</v>
      </c>
      <c r="C11" s="23" t="s">
        <v>208</v>
      </c>
      <c r="D11" s="16">
        <v>73434</v>
      </c>
      <c r="E11" s="23" t="s">
        <v>220</v>
      </c>
      <c r="F11" s="23" t="s">
        <v>25</v>
      </c>
      <c r="G11" s="16" t="s">
        <v>26</v>
      </c>
      <c r="H11" s="24">
        <v>38220</v>
      </c>
      <c r="I11" s="23" t="s">
        <v>32</v>
      </c>
      <c r="J11" s="16" t="s">
        <v>210</v>
      </c>
      <c r="K11" s="25">
        <f>94.24+96.81+91.67</f>
        <v>282.72000000000003</v>
      </c>
      <c r="L11" s="26">
        <f t="shared" si="0"/>
        <v>94.240000000000009</v>
      </c>
      <c r="M11" s="25">
        <v>97</v>
      </c>
      <c r="N11" s="25">
        <f t="shared" si="1"/>
        <v>97</v>
      </c>
      <c r="O11" s="25">
        <v>514</v>
      </c>
      <c r="P11" s="25">
        <v>95.81</v>
      </c>
      <c r="Q11" s="27">
        <v>44865</v>
      </c>
      <c r="R11" s="23">
        <v>4129020134</v>
      </c>
      <c r="S11" s="23">
        <v>450000</v>
      </c>
    </row>
    <row r="12" spans="1:20" x14ac:dyDescent="0.2">
      <c r="A12" s="16">
        <v>9</v>
      </c>
      <c r="B12" s="23" t="s">
        <v>207</v>
      </c>
      <c r="C12" s="23" t="s">
        <v>208</v>
      </c>
      <c r="D12" s="16">
        <v>393371</v>
      </c>
      <c r="E12" s="23" t="s">
        <v>221</v>
      </c>
      <c r="F12" s="23" t="s">
        <v>31</v>
      </c>
      <c r="G12" s="16" t="s">
        <v>26</v>
      </c>
      <c r="H12" s="24">
        <v>38453</v>
      </c>
      <c r="I12" s="23" t="s">
        <v>212</v>
      </c>
      <c r="J12" s="16" t="s">
        <v>222</v>
      </c>
      <c r="K12" s="30">
        <f>73+69+71</f>
        <v>213</v>
      </c>
      <c r="L12" s="31">
        <f t="shared" si="0"/>
        <v>71</v>
      </c>
      <c r="M12" s="30">
        <v>89</v>
      </c>
      <c r="N12" s="30">
        <f t="shared" si="1"/>
        <v>89</v>
      </c>
      <c r="O12" s="30">
        <v>262</v>
      </c>
      <c r="P12" s="30">
        <v>77.63</v>
      </c>
      <c r="Q12" s="27">
        <v>44867</v>
      </c>
      <c r="R12" s="23">
        <v>4101170473</v>
      </c>
      <c r="S12" s="23"/>
    </row>
    <row r="13" spans="1:20" x14ac:dyDescent="0.2">
      <c r="A13" s="16">
        <v>10</v>
      </c>
      <c r="B13" s="23" t="s">
        <v>207</v>
      </c>
      <c r="C13" s="23" t="s">
        <v>208</v>
      </c>
      <c r="D13" s="16">
        <v>74202</v>
      </c>
      <c r="E13" s="23" t="s">
        <v>223</v>
      </c>
      <c r="F13" s="23" t="s">
        <v>25</v>
      </c>
      <c r="G13" s="16" t="s">
        <v>26</v>
      </c>
      <c r="H13" s="24">
        <v>37200</v>
      </c>
      <c r="I13" s="23" t="s">
        <v>32</v>
      </c>
      <c r="J13" s="16" t="s">
        <v>210</v>
      </c>
      <c r="K13" s="25">
        <f>83+82+88</f>
        <v>253</v>
      </c>
      <c r="L13" s="26">
        <f t="shared" si="0"/>
        <v>84.333333333333343</v>
      </c>
      <c r="M13" s="25">
        <v>92</v>
      </c>
      <c r="N13" s="25">
        <f t="shared" si="1"/>
        <v>92</v>
      </c>
      <c r="O13" s="25">
        <v>513</v>
      </c>
      <c r="P13" s="25">
        <v>95.77</v>
      </c>
      <c r="Q13" s="27">
        <v>44868</v>
      </c>
      <c r="R13" s="23">
        <v>4127010112</v>
      </c>
      <c r="S13" s="23">
        <v>450000</v>
      </c>
    </row>
    <row r="14" spans="1:20" x14ac:dyDescent="0.2">
      <c r="A14" s="16">
        <v>11</v>
      </c>
      <c r="B14" s="23" t="s">
        <v>207</v>
      </c>
      <c r="C14" s="23" t="s">
        <v>208</v>
      </c>
      <c r="D14" s="16">
        <v>352166</v>
      </c>
      <c r="E14" s="23" t="s">
        <v>224</v>
      </c>
      <c r="F14" s="23" t="s">
        <v>31</v>
      </c>
      <c r="G14" s="16" t="s">
        <v>26</v>
      </c>
      <c r="H14" s="24">
        <v>38153</v>
      </c>
      <c r="I14" s="23" t="s">
        <v>32</v>
      </c>
      <c r="J14" s="16" t="s">
        <v>88</v>
      </c>
      <c r="K14" s="25">
        <f>69+87+91</f>
        <v>247</v>
      </c>
      <c r="L14" s="26">
        <f t="shared" si="0"/>
        <v>82.333333333333343</v>
      </c>
      <c r="M14" s="25">
        <v>91</v>
      </c>
      <c r="N14" s="25">
        <f t="shared" si="1"/>
        <v>91</v>
      </c>
      <c r="O14" s="25">
        <v>283</v>
      </c>
      <c r="P14" s="25">
        <v>79.97</v>
      </c>
      <c r="Q14" s="27">
        <v>44867</v>
      </c>
      <c r="R14" s="23">
        <v>4114080399</v>
      </c>
      <c r="S14" s="23">
        <v>450000</v>
      </c>
    </row>
    <row r="15" spans="1:20" x14ac:dyDescent="0.2">
      <c r="A15" s="16">
        <v>12</v>
      </c>
      <c r="B15" s="23" t="s">
        <v>207</v>
      </c>
      <c r="C15" s="23" t="s">
        <v>208</v>
      </c>
      <c r="D15" s="16">
        <v>96414</v>
      </c>
      <c r="E15" s="23" t="s">
        <v>225</v>
      </c>
      <c r="F15" s="23" t="s">
        <v>31</v>
      </c>
      <c r="G15" s="16" t="s">
        <v>26</v>
      </c>
      <c r="H15" s="24">
        <v>37211</v>
      </c>
      <c r="I15" s="23" t="s">
        <v>32</v>
      </c>
      <c r="J15" s="16" t="s">
        <v>214</v>
      </c>
      <c r="K15" s="25">
        <f>73+80+79</f>
        <v>232</v>
      </c>
      <c r="L15" s="26">
        <f t="shared" si="0"/>
        <v>77.333333333333329</v>
      </c>
      <c r="M15" s="25">
        <v>85</v>
      </c>
      <c r="N15" s="25">
        <f t="shared" si="1"/>
        <v>85</v>
      </c>
      <c r="O15" s="25">
        <v>484</v>
      </c>
      <c r="P15" s="25">
        <v>94.5</v>
      </c>
      <c r="Q15" s="27">
        <v>44865</v>
      </c>
      <c r="R15" s="23">
        <v>4131030128</v>
      </c>
      <c r="S15" s="23">
        <v>450000</v>
      </c>
    </row>
    <row r="16" spans="1:20" x14ac:dyDescent="0.2">
      <c r="A16" s="16">
        <v>13</v>
      </c>
      <c r="B16" s="23" t="s">
        <v>207</v>
      </c>
      <c r="C16" s="23" t="s">
        <v>208</v>
      </c>
      <c r="D16" s="16">
        <v>92924</v>
      </c>
      <c r="E16" s="23" t="s">
        <v>226</v>
      </c>
      <c r="F16" s="23" t="s">
        <v>25</v>
      </c>
      <c r="G16" s="16" t="s">
        <v>26</v>
      </c>
      <c r="H16" s="24">
        <v>36165</v>
      </c>
      <c r="I16" s="23" t="s">
        <v>32</v>
      </c>
      <c r="J16" s="16" t="s">
        <v>210</v>
      </c>
      <c r="K16" s="25">
        <f>175+182+147</f>
        <v>504</v>
      </c>
      <c r="L16" s="26">
        <f>K16/600*100</f>
        <v>84</v>
      </c>
      <c r="M16" s="25">
        <v>191</v>
      </c>
      <c r="N16" s="25">
        <f>M16/200*100</f>
        <v>95.5</v>
      </c>
      <c r="O16" s="25">
        <v>488</v>
      </c>
      <c r="P16" s="25">
        <v>94.69</v>
      </c>
      <c r="Q16" s="27">
        <v>44893</v>
      </c>
      <c r="R16" s="23">
        <v>4102030207</v>
      </c>
      <c r="S16" s="23">
        <v>450000</v>
      </c>
    </row>
    <row r="17" spans="1:19" x14ac:dyDescent="0.2">
      <c r="A17" s="16">
        <v>14</v>
      </c>
      <c r="B17" s="23" t="s">
        <v>207</v>
      </c>
      <c r="C17" s="23" t="s">
        <v>208</v>
      </c>
      <c r="D17" s="16">
        <v>90960</v>
      </c>
      <c r="E17" s="23" t="s">
        <v>227</v>
      </c>
      <c r="F17" s="23" t="s">
        <v>25</v>
      </c>
      <c r="G17" s="16" t="s">
        <v>26</v>
      </c>
      <c r="H17" s="24">
        <v>37896</v>
      </c>
      <c r="I17" s="23" t="s">
        <v>32</v>
      </c>
      <c r="J17" s="16" t="s">
        <v>210</v>
      </c>
      <c r="K17" s="25">
        <f>91+96+88</f>
        <v>275</v>
      </c>
      <c r="L17" s="26">
        <f t="shared" ref="L17:L35" si="2">K17/300*100</f>
        <v>91.666666666666657</v>
      </c>
      <c r="M17" s="25">
        <v>90</v>
      </c>
      <c r="N17" s="25">
        <f t="shared" ref="N17:N49" si="3">M17/100*100</f>
        <v>90</v>
      </c>
      <c r="O17" s="25">
        <v>491</v>
      </c>
      <c r="P17" s="23">
        <v>94.83</v>
      </c>
      <c r="Q17" s="27">
        <v>44893</v>
      </c>
      <c r="R17" s="23">
        <v>2302150301</v>
      </c>
      <c r="S17" s="23">
        <v>450000</v>
      </c>
    </row>
    <row r="18" spans="1:19" x14ac:dyDescent="0.2">
      <c r="A18" s="16">
        <v>15</v>
      </c>
      <c r="B18" s="23" t="s">
        <v>207</v>
      </c>
      <c r="C18" s="23" t="s">
        <v>208</v>
      </c>
      <c r="D18" s="16">
        <v>814889</v>
      </c>
      <c r="E18" s="23" t="s">
        <v>228</v>
      </c>
      <c r="F18" s="23" t="s">
        <v>25</v>
      </c>
      <c r="G18" s="16" t="s">
        <v>26</v>
      </c>
      <c r="H18" s="24">
        <v>38026</v>
      </c>
      <c r="I18" s="23" t="s">
        <v>212</v>
      </c>
      <c r="J18" s="16" t="s">
        <v>210</v>
      </c>
      <c r="K18" s="25">
        <f>68.96+72.38+68.96</f>
        <v>210.29999999999995</v>
      </c>
      <c r="L18" s="26">
        <f t="shared" si="2"/>
        <v>70.09999999999998</v>
      </c>
      <c r="M18" s="25">
        <v>74.67</v>
      </c>
      <c r="N18" s="25">
        <f t="shared" si="3"/>
        <v>74.67</v>
      </c>
      <c r="O18" s="25">
        <v>128</v>
      </c>
      <c r="P18" s="25">
        <v>53.59</v>
      </c>
      <c r="Q18" s="27">
        <v>44894</v>
      </c>
      <c r="R18" s="23">
        <v>4106040078</v>
      </c>
      <c r="S18" s="23"/>
    </row>
    <row r="19" spans="1:19" x14ac:dyDescent="0.2">
      <c r="A19" s="16">
        <v>16</v>
      </c>
      <c r="B19" s="23" t="s">
        <v>207</v>
      </c>
      <c r="C19" s="23" t="s">
        <v>208</v>
      </c>
      <c r="D19" s="16">
        <v>858156</v>
      </c>
      <c r="E19" s="23" t="s">
        <v>229</v>
      </c>
      <c r="F19" s="23" t="s">
        <v>25</v>
      </c>
      <c r="G19" s="16" t="s">
        <v>26</v>
      </c>
      <c r="H19" s="24">
        <v>38251</v>
      </c>
      <c r="I19" s="23" t="s">
        <v>212</v>
      </c>
      <c r="J19" s="16" t="s">
        <v>222</v>
      </c>
      <c r="K19" s="25">
        <f>78+86+71</f>
        <v>235</v>
      </c>
      <c r="L19" s="26">
        <f t="shared" si="2"/>
        <v>78.333333333333329</v>
      </c>
      <c r="M19" s="25">
        <v>84</v>
      </c>
      <c r="N19" s="25">
        <f t="shared" si="3"/>
        <v>84</v>
      </c>
      <c r="O19" s="25">
        <v>120</v>
      </c>
      <c r="P19" s="25">
        <v>50.94</v>
      </c>
      <c r="Q19" s="27">
        <v>44893</v>
      </c>
      <c r="R19" s="23">
        <v>4122040091</v>
      </c>
      <c r="S19" s="23"/>
    </row>
    <row r="20" spans="1:19" x14ac:dyDescent="0.2">
      <c r="A20" s="16">
        <v>17</v>
      </c>
      <c r="B20" s="23" t="s">
        <v>207</v>
      </c>
      <c r="C20" s="23" t="s">
        <v>208</v>
      </c>
      <c r="D20" s="16">
        <v>79626</v>
      </c>
      <c r="E20" s="23" t="s">
        <v>230</v>
      </c>
      <c r="F20" s="23" t="s">
        <v>25</v>
      </c>
      <c r="G20" s="16" t="s">
        <v>26</v>
      </c>
      <c r="H20" s="24">
        <v>38302</v>
      </c>
      <c r="I20" s="23" t="s">
        <v>32</v>
      </c>
      <c r="J20" s="16" t="s">
        <v>210</v>
      </c>
      <c r="K20" s="25">
        <f>95+97+97</f>
        <v>289</v>
      </c>
      <c r="L20" s="26">
        <f t="shared" si="2"/>
        <v>96.333333333333343</v>
      </c>
      <c r="M20" s="25">
        <v>89</v>
      </c>
      <c r="N20" s="25">
        <f t="shared" si="3"/>
        <v>89</v>
      </c>
      <c r="O20" s="25">
        <v>505</v>
      </c>
      <c r="P20" s="25">
        <v>95.44</v>
      </c>
      <c r="Q20" s="27">
        <v>44868</v>
      </c>
      <c r="R20" s="23">
        <v>4106100334</v>
      </c>
      <c r="S20" s="23">
        <v>450000</v>
      </c>
    </row>
    <row r="21" spans="1:19" x14ac:dyDescent="0.2">
      <c r="A21" s="16">
        <v>18</v>
      </c>
      <c r="B21" s="23" t="s">
        <v>207</v>
      </c>
      <c r="C21" s="23" t="s">
        <v>208</v>
      </c>
      <c r="D21" s="16">
        <v>742891</v>
      </c>
      <c r="E21" s="23" t="s">
        <v>231</v>
      </c>
      <c r="F21" s="23" t="s">
        <v>31</v>
      </c>
      <c r="G21" s="16" t="s">
        <v>26</v>
      </c>
      <c r="H21" s="24">
        <v>38377</v>
      </c>
      <c r="I21" s="23" t="s">
        <v>212</v>
      </c>
      <c r="J21" s="16" t="s">
        <v>210</v>
      </c>
      <c r="K21" s="25">
        <f>64+80+86</f>
        <v>230</v>
      </c>
      <c r="L21" s="26">
        <f t="shared" si="2"/>
        <v>76.666666666666671</v>
      </c>
      <c r="M21" s="25">
        <v>85</v>
      </c>
      <c r="N21" s="25">
        <f t="shared" si="3"/>
        <v>85</v>
      </c>
      <c r="O21" s="25">
        <v>143</v>
      </c>
      <c r="P21" s="25">
        <v>57.74</v>
      </c>
      <c r="Q21" s="27">
        <v>44895</v>
      </c>
      <c r="R21" s="23">
        <v>4131010554</v>
      </c>
      <c r="S21" s="23"/>
    </row>
    <row r="22" spans="1:19" x14ac:dyDescent="0.2">
      <c r="A22" s="16">
        <v>19</v>
      </c>
      <c r="B22" s="23" t="s">
        <v>207</v>
      </c>
      <c r="C22" s="23" t="s">
        <v>208</v>
      </c>
      <c r="D22" s="16">
        <v>326230</v>
      </c>
      <c r="E22" s="23" t="s">
        <v>232</v>
      </c>
      <c r="F22" s="23" t="s">
        <v>31</v>
      </c>
      <c r="G22" s="16" t="s">
        <v>26</v>
      </c>
      <c r="H22" s="24">
        <v>38143</v>
      </c>
      <c r="I22" s="23" t="s">
        <v>212</v>
      </c>
      <c r="J22" s="16" t="s">
        <v>210</v>
      </c>
      <c r="K22" s="25">
        <f>95.6+98.17+89.88</f>
        <v>283.64999999999998</v>
      </c>
      <c r="L22" s="26">
        <f t="shared" si="2"/>
        <v>94.549999999999983</v>
      </c>
      <c r="M22" s="25">
        <v>92.84</v>
      </c>
      <c r="N22" s="25">
        <f t="shared" si="3"/>
        <v>92.84</v>
      </c>
      <c r="O22" s="25">
        <v>297</v>
      </c>
      <c r="P22" s="25">
        <v>81.42</v>
      </c>
      <c r="Q22" s="27">
        <v>44912</v>
      </c>
      <c r="R22" s="23">
        <v>4120021004</v>
      </c>
      <c r="S22" s="23"/>
    </row>
    <row r="23" spans="1:19" x14ac:dyDescent="0.2">
      <c r="A23" s="16">
        <v>20</v>
      </c>
      <c r="B23" s="23" t="s">
        <v>207</v>
      </c>
      <c r="C23" s="23" t="s">
        <v>208</v>
      </c>
      <c r="D23" s="16">
        <v>390413</v>
      </c>
      <c r="E23" s="23" t="s">
        <v>233</v>
      </c>
      <c r="F23" s="23" t="s">
        <v>25</v>
      </c>
      <c r="G23" s="16" t="s">
        <v>26</v>
      </c>
      <c r="H23" s="24">
        <v>38027</v>
      </c>
      <c r="I23" s="23" t="s">
        <v>212</v>
      </c>
      <c r="J23" s="16" t="s">
        <v>222</v>
      </c>
      <c r="K23" s="30">
        <f>83+83+96</f>
        <v>262</v>
      </c>
      <c r="L23" s="31">
        <f t="shared" si="2"/>
        <v>87.333333333333329</v>
      </c>
      <c r="M23" s="30">
        <v>80</v>
      </c>
      <c r="N23" s="30">
        <f t="shared" si="3"/>
        <v>80</v>
      </c>
      <c r="O23" s="30">
        <v>264</v>
      </c>
      <c r="P23" s="30">
        <v>77.86</v>
      </c>
      <c r="Q23" s="27">
        <v>44868</v>
      </c>
      <c r="R23" s="23">
        <v>4112060210</v>
      </c>
      <c r="S23" s="23"/>
    </row>
    <row r="24" spans="1:19" x14ac:dyDescent="0.2">
      <c r="A24" s="16">
        <v>21</v>
      </c>
      <c r="B24" s="23" t="s">
        <v>207</v>
      </c>
      <c r="C24" s="23" t="s">
        <v>208</v>
      </c>
      <c r="D24" s="16">
        <v>112138</v>
      </c>
      <c r="E24" s="23" t="s">
        <v>234</v>
      </c>
      <c r="F24" s="23" t="s">
        <v>25</v>
      </c>
      <c r="G24" s="16" t="s">
        <v>26</v>
      </c>
      <c r="H24" s="24">
        <v>37897</v>
      </c>
      <c r="I24" s="23" t="s">
        <v>32</v>
      </c>
      <c r="J24" s="16" t="s">
        <v>214</v>
      </c>
      <c r="K24" s="25">
        <f>83+83+97</f>
        <v>263</v>
      </c>
      <c r="L24" s="26">
        <f t="shared" si="2"/>
        <v>87.666666666666671</v>
      </c>
      <c r="M24" s="25">
        <v>94</v>
      </c>
      <c r="N24" s="25">
        <f t="shared" si="3"/>
        <v>94</v>
      </c>
      <c r="O24" s="25">
        <v>466</v>
      </c>
      <c r="P24" s="25">
        <v>93.63</v>
      </c>
      <c r="Q24" s="27">
        <v>44895</v>
      </c>
      <c r="R24" s="23">
        <v>4114020670</v>
      </c>
      <c r="S24" s="23">
        <v>450000</v>
      </c>
    </row>
    <row r="25" spans="1:19" x14ac:dyDescent="0.2">
      <c r="A25" s="16">
        <v>22</v>
      </c>
      <c r="B25" s="23" t="s">
        <v>207</v>
      </c>
      <c r="C25" s="23" t="s">
        <v>208</v>
      </c>
      <c r="D25" s="16">
        <v>313079</v>
      </c>
      <c r="E25" s="23" t="s">
        <v>235</v>
      </c>
      <c r="F25" s="23" t="s">
        <v>31</v>
      </c>
      <c r="G25" s="16" t="s">
        <v>26</v>
      </c>
      <c r="H25" s="24">
        <v>37838</v>
      </c>
      <c r="I25" s="23" t="s">
        <v>212</v>
      </c>
      <c r="J25" s="16" t="s">
        <v>210</v>
      </c>
      <c r="K25" s="30">
        <f>75+85+87</f>
        <v>247</v>
      </c>
      <c r="L25" s="31">
        <f t="shared" si="2"/>
        <v>82.333333333333343</v>
      </c>
      <c r="M25" s="30">
        <v>89</v>
      </c>
      <c r="N25" s="30">
        <f t="shared" si="3"/>
        <v>89</v>
      </c>
      <c r="O25" s="30">
        <v>305</v>
      </c>
      <c r="P25" s="30">
        <v>82.21</v>
      </c>
      <c r="Q25" s="27">
        <v>44869</v>
      </c>
      <c r="R25" s="23">
        <v>4101050372</v>
      </c>
      <c r="S25" s="23"/>
    </row>
    <row r="26" spans="1:19" x14ac:dyDescent="0.2">
      <c r="A26" s="16">
        <v>23</v>
      </c>
      <c r="B26" s="23" t="s">
        <v>207</v>
      </c>
      <c r="C26" s="23" t="s">
        <v>208</v>
      </c>
      <c r="D26" s="16">
        <v>101259</v>
      </c>
      <c r="E26" s="23" t="s">
        <v>236</v>
      </c>
      <c r="F26" s="23" t="s">
        <v>31</v>
      </c>
      <c r="G26" s="16" t="s">
        <v>26</v>
      </c>
      <c r="H26" s="24">
        <v>38294</v>
      </c>
      <c r="I26" s="23" t="s">
        <v>32</v>
      </c>
      <c r="J26" s="16" t="s">
        <v>214</v>
      </c>
      <c r="K26" s="25">
        <f>80+94+86</f>
        <v>260</v>
      </c>
      <c r="L26" s="26">
        <f t="shared" si="2"/>
        <v>86.666666666666671</v>
      </c>
      <c r="M26" s="25">
        <v>87</v>
      </c>
      <c r="N26" s="25">
        <f t="shared" si="3"/>
        <v>87</v>
      </c>
      <c r="O26" s="25">
        <v>478</v>
      </c>
      <c r="P26" s="25">
        <v>94.22</v>
      </c>
      <c r="Q26" s="27">
        <v>44868</v>
      </c>
      <c r="R26" s="23">
        <v>4101140682</v>
      </c>
      <c r="S26" s="23">
        <v>450000</v>
      </c>
    </row>
    <row r="27" spans="1:19" x14ac:dyDescent="0.2">
      <c r="A27" s="16">
        <v>24</v>
      </c>
      <c r="B27" s="23" t="s">
        <v>207</v>
      </c>
      <c r="C27" s="23" t="s">
        <v>208</v>
      </c>
      <c r="D27" s="16">
        <v>91595</v>
      </c>
      <c r="E27" s="23" t="s">
        <v>237</v>
      </c>
      <c r="F27" s="23" t="s">
        <v>25</v>
      </c>
      <c r="G27" s="16" t="s">
        <v>26</v>
      </c>
      <c r="H27" s="24">
        <v>38024</v>
      </c>
      <c r="I27" s="23" t="s">
        <v>32</v>
      </c>
      <c r="J27" s="16" t="s">
        <v>210</v>
      </c>
      <c r="K27" s="25">
        <f>94+94+88</f>
        <v>276</v>
      </c>
      <c r="L27" s="26">
        <f t="shared" si="2"/>
        <v>92</v>
      </c>
      <c r="M27" s="25">
        <v>88</v>
      </c>
      <c r="N27" s="25">
        <f t="shared" si="3"/>
        <v>88</v>
      </c>
      <c r="O27" s="25">
        <v>490</v>
      </c>
      <c r="P27" s="23">
        <v>94.78</v>
      </c>
      <c r="Q27" s="27">
        <v>44893</v>
      </c>
      <c r="R27" s="23">
        <v>4101090242</v>
      </c>
      <c r="S27" s="23">
        <v>450000</v>
      </c>
    </row>
    <row r="28" spans="1:19" x14ac:dyDescent="0.2">
      <c r="A28" s="16">
        <v>25</v>
      </c>
      <c r="B28" s="23" t="s">
        <v>207</v>
      </c>
      <c r="C28" s="23" t="s">
        <v>208</v>
      </c>
      <c r="D28" s="16">
        <v>91420</v>
      </c>
      <c r="E28" s="23" t="s">
        <v>238</v>
      </c>
      <c r="F28" s="23" t="s">
        <v>31</v>
      </c>
      <c r="G28" s="16" t="s">
        <v>26</v>
      </c>
      <c r="H28" s="24">
        <v>37549</v>
      </c>
      <c r="I28" s="23" t="s">
        <v>32</v>
      </c>
      <c r="J28" s="16" t="s">
        <v>210</v>
      </c>
      <c r="K28" s="25">
        <f>86+70+65</f>
        <v>221</v>
      </c>
      <c r="L28" s="26">
        <f t="shared" si="2"/>
        <v>73.666666666666671</v>
      </c>
      <c r="M28" s="25">
        <v>83</v>
      </c>
      <c r="N28" s="25">
        <f t="shared" si="3"/>
        <v>83</v>
      </c>
      <c r="O28" s="25">
        <v>490</v>
      </c>
      <c r="P28" s="23">
        <v>94.78</v>
      </c>
      <c r="Q28" s="27">
        <v>44893</v>
      </c>
      <c r="R28" s="23">
        <v>4117030216</v>
      </c>
      <c r="S28" s="23">
        <v>450000</v>
      </c>
    </row>
    <row r="29" spans="1:19" x14ac:dyDescent="0.2">
      <c r="A29" s="16">
        <v>26</v>
      </c>
      <c r="B29" s="23" t="s">
        <v>207</v>
      </c>
      <c r="C29" s="23" t="s">
        <v>208</v>
      </c>
      <c r="D29" s="16">
        <v>556565</v>
      </c>
      <c r="E29" s="23" t="s">
        <v>239</v>
      </c>
      <c r="F29" s="23" t="s">
        <v>31</v>
      </c>
      <c r="G29" s="16" t="s">
        <v>26</v>
      </c>
      <c r="H29" s="24">
        <v>38057</v>
      </c>
      <c r="I29" s="23" t="s">
        <v>212</v>
      </c>
      <c r="J29" s="16" t="s">
        <v>210</v>
      </c>
      <c r="K29" s="30">
        <f>84+94+96</f>
        <v>274</v>
      </c>
      <c r="L29" s="31">
        <f t="shared" si="2"/>
        <v>91.333333333333329</v>
      </c>
      <c r="M29" s="30">
        <v>93</v>
      </c>
      <c r="N29" s="30">
        <f t="shared" si="3"/>
        <v>93</v>
      </c>
      <c r="O29" s="30">
        <v>195</v>
      </c>
      <c r="P29" s="30">
        <v>68.34</v>
      </c>
      <c r="Q29" s="27">
        <v>44869</v>
      </c>
      <c r="R29" s="23">
        <v>4115010134</v>
      </c>
      <c r="S29" s="23"/>
    </row>
    <row r="30" spans="1:19" x14ac:dyDescent="0.2">
      <c r="A30" s="16">
        <v>27</v>
      </c>
      <c r="B30" s="23" t="s">
        <v>207</v>
      </c>
      <c r="C30" s="23" t="s">
        <v>208</v>
      </c>
      <c r="D30" s="16">
        <v>297107</v>
      </c>
      <c r="E30" s="23" t="s">
        <v>240</v>
      </c>
      <c r="F30" s="23" t="s">
        <v>31</v>
      </c>
      <c r="G30" s="16" t="s">
        <v>26</v>
      </c>
      <c r="H30" s="24">
        <v>37138</v>
      </c>
      <c r="I30" s="23" t="s">
        <v>32</v>
      </c>
      <c r="J30" s="16" t="s">
        <v>241</v>
      </c>
      <c r="K30" s="25">
        <f>71+64+59</f>
        <v>194</v>
      </c>
      <c r="L30" s="26">
        <f t="shared" si="2"/>
        <v>64.666666666666657</v>
      </c>
      <c r="M30" s="25">
        <v>64</v>
      </c>
      <c r="N30" s="25">
        <f t="shared" si="3"/>
        <v>64</v>
      </c>
      <c r="O30" s="25">
        <v>314</v>
      </c>
      <c r="P30" s="23">
        <v>83.07</v>
      </c>
      <c r="Q30" s="27">
        <v>44893</v>
      </c>
      <c r="R30" s="23">
        <v>4117020393</v>
      </c>
      <c r="S30" s="23">
        <v>450000</v>
      </c>
    </row>
    <row r="31" spans="1:19" x14ac:dyDescent="0.2">
      <c r="A31" s="16">
        <v>28</v>
      </c>
      <c r="B31" s="23" t="s">
        <v>207</v>
      </c>
      <c r="C31" s="23" t="s">
        <v>208</v>
      </c>
      <c r="D31" s="16">
        <v>75584</v>
      </c>
      <c r="E31" s="23" t="s">
        <v>242</v>
      </c>
      <c r="F31" s="23" t="s">
        <v>31</v>
      </c>
      <c r="G31" s="16" t="s">
        <v>26</v>
      </c>
      <c r="H31" s="24">
        <v>38167</v>
      </c>
      <c r="I31" s="23" t="s">
        <v>32</v>
      </c>
      <c r="J31" s="16" t="s">
        <v>210</v>
      </c>
      <c r="K31" s="25">
        <f>98.6+98.03+94.03</f>
        <v>290.65999999999997</v>
      </c>
      <c r="L31" s="26">
        <f t="shared" si="2"/>
        <v>96.886666666666656</v>
      </c>
      <c r="M31" s="25">
        <v>96.28</v>
      </c>
      <c r="N31" s="25">
        <f t="shared" si="3"/>
        <v>96.28</v>
      </c>
      <c r="O31" s="25">
        <v>511</v>
      </c>
      <c r="P31" s="25">
        <v>95.7</v>
      </c>
      <c r="Q31" s="27">
        <v>44864</v>
      </c>
      <c r="R31" s="23">
        <v>4122010621</v>
      </c>
      <c r="S31" s="23">
        <v>450000</v>
      </c>
    </row>
    <row r="32" spans="1:19" x14ac:dyDescent="0.2">
      <c r="A32" s="16">
        <v>29</v>
      </c>
      <c r="B32" s="23" t="s">
        <v>207</v>
      </c>
      <c r="C32" s="23" t="s">
        <v>208</v>
      </c>
      <c r="D32" s="16">
        <v>89173</v>
      </c>
      <c r="E32" s="23" t="s">
        <v>243</v>
      </c>
      <c r="F32" s="23" t="s">
        <v>31</v>
      </c>
      <c r="G32" s="16" t="s">
        <v>26</v>
      </c>
      <c r="H32" s="24">
        <v>37798</v>
      </c>
      <c r="I32" s="23" t="s">
        <v>32</v>
      </c>
      <c r="J32" s="16" t="s">
        <v>210</v>
      </c>
      <c r="K32" s="25">
        <f>52+61+69</f>
        <v>182</v>
      </c>
      <c r="L32" s="26">
        <f t="shared" si="2"/>
        <v>60.666666666666671</v>
      </c>
      <c r="M32" s="25">
        <v>85</v>
      </c>
      <c r="N32" s="25">
        <f t="shared" si="3"/>
        <v>85</v>
      </c>
      <c r="O32" s="25">
        <v>493</v>
      </c>
      <c r="P32" s="23">
        <v>94.92</v>
      </c>
      <c r="Q32" s="27">
        <v>44894</v>
      </c>
      <c r="R32" s="23">
        <v>4111050059</v>
      </c>
      <c r="S32" s="23">
        <v>450000</v>
      </c>
    </row>
    <row r="33" spans="1:19" x14ac:dyDescent="0.2">
      <c r="A33" s="16">
        <v>30</v>
      </c>
      <c r="B33" s="23" t="s">
        <v>207</v>
      </c>
      <c r="C33" s="23" t="s">
        <v>208</v>
      </c>
      <c r="D33" s="16">
        <v>310979</v>
      </c>
      <c r="E33" s="23" t="s">
        <v>244</v>
      </c>
      <c r="F33" s="23" t="s">
        <v>25</v>
      </c>
      <c r="G33" s="16" t="s">
        <v>26</v>
      </c>
      <c r="H33" s="24">
        <v>37599</v>
      </c>
      <c r="I33" s="23" t="s">
        <v>212</v>
      </c>
      <c r="J33" s="16" t="s">
        <v>210</v>
      </c>
      <c r="K33" s="25">
        <f>73+66+75</f>
        <v>214</v>
      </c>
      <c r="L33" s="26">
        <f t="shared" si="2"/>
        <v>71.333333333333343</v>
      </c>
      <c r="M33" s="25">
        <v>86</v>
      </c>
      <c r="N33" s="25">
        <f t="shared" si="3"/>
        <v>86</v>
      </c>
      <c r="O33" s="25">
        <v>306</v>
      </c>
      <c r="P33" s="25">
        <v>82.31</v>
      </c>
      <c r="Q33" s="27">
        <v>44911</v>
      </c>
      <c r="R33" s="23">
        <v>3701030535</v>
      </c>
      <c r="S33" s="23"/>
    </row>
    <row r="34" spans="1:19" x14ac:dyDescent="0.2">
      <c r="A34" s="16">
        <v>31</v>
      </c>
      <c r="B34" s="23" t="s">
        <v>207</v>
      </c>
      <c r="C34" s="23" t="s">
        <v>208</v>
      </c>
      <c r="D34" s="16">
        <v>570077</v>
      </c>
      <c r="E34" s="23" t="s">
        <v>245</v>
      </c>
      <c r="F34" s="23" t="s">
        <v>31</v>
      </c>
      <c r="G34" s="16" t="s">
        <v>26</v>
      </c>
      <c r="H34" s="24">
        <v>38091</v>
      </c>
      <c r="I34" s="23" t="s">
        <v>212</v>
      </c>
      <c r="J34" s="16" t="s">
        <v>222</v>
      </c>
      <c r="K34" s="25">
        <f>82.57+83.14+84.29</f>
        <v>250</v>
      </c>
      <c r="L34" s="26">
        <f t="shared" si="2"/>
        <v>83.333333333333343</v>
      </c>
      <c r="M34" s="25">
        <v>87.56</v>
      </c>
      <c r="N34" s="25">
        <f t="shared" si="3"/>
        <v>87.56</v>
      </c>
      <c r="O34" s="25">
        <v>190</v>
      </c>
      <c r="P34" s="25">
        <v>67.5</v>
      </c>
      <c r="Q34" s="27">
        <v>44894</v>
      </c>
      <c r="R34" s="23">
        <v>4101090713</v>
      </c>
      <c r="S34" s="23"/>
    </row>
    <row r="35" spans="1:19" x14ac:dyDescent="0.2">
      <c r="A35" s="16">
        <v>32</v>
      </c>
      <c r="B35" s="23" t="s">
        <v>207</v>
      </c>
      <c r="C35" s="23" t="s">
        <v>208</v>
      </c>
      <c r="D35" s="16">
        <v>202092</v>
      </c>
      <c r="E35" s="23" t="s">
        <v>246</v>
      </c>
      <c r="F35" s="23" t="s">
        <v>25</v>
      </c>
      <c r="G35" s="16" t="s">
        <v>26</v>
      </c>
      <c r="H35" s="24">
        <v>37830</v>
      </c>
      <c r="I35" s="23" t="s">
        <v>32</v>
      </c>
      <c r="J35" s="16" t="s">
        <v>44</v>
      </c>
      <c r="K35" s="25">
        <f>75+79+79</f>
        <v>233</v>
      </c>
      <c r="L35" s="26">
        <f t="shared" si="2"/>
        <v>77.666666666666657</v>
      </c>
      <c r="M35" s="25">
        <v>88</v>
      </c>
      <c r="N35" s="25">
        <f t="shared" si="3"/>
        <v>88</v>
      </c>
      <c r="O35" s="25">
        <v>380</v>
      </c>
      <c r="P35" s="25">
        <v>88.48</v>
      </c>
      <c r="Q35" s="27">
        <v>44868</v>
      </c>
      <c r="R35" s="23">
        <v>4114030134</v>
      </c>
      <c r="S35" s="23">
        <v>450000</v>
      </c>
    </row>
    <row r="36" spans="1:19" x14ac:dyDescent="0.2">
      <c r="A36" s="16">
        <v>33</v>
      </c>
      <c r="B36" s="23" t="s">
        <v>207</v>
      </c>
      <c r="C36" s="23" t="s">
        <v>208</v>
      </c>
      <c r="D36" s="16">
        <v>81840</v>
      </c>
      <c r="E36" s="23" t="s">
        <v>247</v>
      </c>
      <c r="F36" s="23" t="s">
        <v>25</v>
      </c>
      <c r="G36" s="16" t="s">
        <v>26</v>
      </c>
      <c r="H36" s="24">
        <v>37682</v>
      </c>
      <c r="I36" s="23" t="s">
        <v>32</v>
      </c>
      <c r="J36" s="16" t="s">
        <v>210</v>
      </c>
      <c r="K36" s="25">
        <f>81+74+82</f>
        <v>237</v>
      </c>
      <c r="L36" s="26">
        <v>87</v>
      </c>
      <c r="M36" s="25">
        <v>87</v>
      </c>
      <c r="N36" s="25">
        <f t="shared" si="3"/>
        <v>87</v>
      </c>
      <c r="O36" s="25">
        <v>503</v>
      </c>
      <c r="P36" s="25">
        <v>95.35</v>
      </c>
      <c r="Q36" s="27">
        <v>44867</v>
      </c>
      <c r="R36" s="23">
        <v>4118020261</v>
      </c>
      <c r="S36" s="23">
        <v>450000</v>
      </c>
    </row>
    <row r="37" spans="1:19" x14ac:dyDescent="0.2">
      <c r="A37" s="16">
        <v>34</v>
      </c>
      <c r="B37" s="23" t="s">
        <v>207</v>
      </c>
      <c r="C37" s="23" t="s">
        <v>208</v>
      </c>
      <c r="D37" s="16">
        <v>418354</v>
      </c>
      <c r="E37" s="23" t="s">
        <v>248</v>
      </c>
      <c r="F37" s="23" t="s">
        <v>25</v>
      </c>
      <c r="G37" s="16" t="s">
        <v>26</v>
      </c>
      <c r="H37" s="24">
        <v>38147</v>
      </c>
      <c r="I37" s="23" t="s">
        <v>212</v>
      </c>
      <c r="J37" s="16" t="s">
        <v>214</v>
      </c>
      <c r="K37" s="30">
        <f>88.64+88.93+82.36</f>
        <v>259.93</v>
      </c>
      <c r="L37" s="31">
        <f t="shared" ref="L37:L46" si="4">K37/300*100</f>
        <v>86.643333333333345</v>
      </c>
      <c r="M37" s="30">
        <v>83.28</v>
      </c>
      <c r="N37" s="30">
        <f t="shared" si="3"/>
        <v>83.28</v>
      </c>
      <c r="O37" s="30">
        <v>250</v>
      </c>
      <c r="P37" s="30">
        <v>76.180000000000007</v>
      </c>
      <c r="Q37" s="27">
        <v>44868</v>
      </c>
      <c r="R37" s="23">
        <v>4114030700</v>
      </c>
      <c r="S37" s="23"/>
    </row>
    <row r="38" spans="1:19" x14ac:dyDescent="0.2">
      <c r="A38" s="16">
        <v>35</v>
      </c>
      <c r="B38" s="23" t="s">
        <v>207</v>
      </c>
      <c r="C38" s="23" t="s">
        <v>208</v>
      </c>
      <c r="D38" s="16">
        <v>92946</v>
      </c>
      <c r="E38" s="23" t="s">
        <v>249</v>
      </c>
      <c r="F38" s="23" t="s">
        <v>31</v>
      </c>
      <c r="G38" s="16" t="s">
        <v>26</v>
      </c>
      <c r="H38" s="24">
        <v>37600</v>
      </c>
      <c r="I38" s="23" t="s">
        <v>32</v>
      </c>
      <c r="J38" s="16" t="s">
        <v>210</v>
      </c>
      <c r="K38" s="25">
        <f>55+74+80</f>
        <v>209</v>
      </c>
      <c r="L38" s="26">
        <f t="shared" si="4"/>
        <v>69.666666666666671</v>
      </c>
      <c r="M38" s="25">
        <v>92</v>
      </c>
      <c r="N38" s="25">
        <f t="shared" si="3"/>
        <v>92</v>
      </c>
      <c r="O38" s="25">
        <v>488</v>
      </c>
      <c r="P38" s="25">
        <v>69</v>
      </c>
      <c r="Q38" s="27">
        <v>44893</v>
      </c>
      <c r="R38" s="23">
        <v>4122050503</v>
      </c>
      <c r="S38" s="23">
        <v>450000</v>
      </c>
    </row>
    <row r="39" spans="1:19" x14ac:dyDescent="0.2">
      <c r="A39" s="16">
        <v>36</v>
      </c>
      <c r="B39" s="23" t="s">
        <v>207</v>
      </c>
      <c r="C39" s="23" t="s">
        <v>208</v>
      </c>
      <c r="D39" s="16">
        <v>740751</v>
      </c>
      <c r="E39" s="23" t="s">
        <v>250</v>
      </c>
      <c r="F39" s="23" t="s">
        <v>25</v>
      </c>
      <c r="G39" s="16" t="s">
        <v>26</v>
      </c>
      <c r="H39" s="24">
        <v>38473</v>
      </c>
      <c r="I39" s="23" t="s">
        <v>212</v>
      </c>
      <c r="J39" s="16" t="s">
        <v>210</v>
      </c>
      <c r="K39" s="25">
        <f>68+77+85</f>
        <v>230</v>
      </c>
      <c r="L39" s="26">
        <f t="shared" si="4"/>
        <v>76.666666666666671</v>
      </c>
      <c r="M39" s="25">
        <v>87</v>
      </c>
      <c r="N39" s="25">
        <f t="shared" si="3"/>
        <v>87</v>
      </c>
      <c r="O39" s="25">
        <v>144</v>
      </c>
      <c r="P39" s="25">
        <v>57.97</v>
      </c>
      <c r="Q39" s="27">
        <v>44893</v>
      </c>
      <c r="R39" s="23">
        <v>4121040594</v>
      </c>
      <c r="S39" s="23"/>
    </row>
    <row r="40" spans="1:19" x14ac:dyDescent="0.2">
      <c r="A40" s="16">
        <v>37</v>
      </c>
      <c r="B40" s="23" t="s">
        <v>207</v>
      </c>
      <c r="C40" s="23" t="s">
        <v>208</v>
      </c>
      <c r="D40" s="16">
        <v>1006108</v>
      </c>
      <c r="E40" s="23" t="s">
        <v>251</v>
      </c>
      <c r="F40" s="23" t="s">
        <v>25</v>
      </c>
      <c r="G40" s="16" t="s">
        <v>26</v>
      </c>
      <c r="H40" s="24">
        <v>38539</v>
      </c>
      <c r="I40" s="23" t="s">
        <v>212</v>
      </c>
      <c r="J40" s="16" t="s">
        <v>44</v>
      </c>
      <c r="K40" s="25">
        <f>60+62+60</f>
        <v>182</v>
      </c>
      <c r="L40" s="26">
        <f t="shared" si="4"/>
        <v>60.666666666666671</v>
      </c>
      <c r="M40" s="25">
        <v>52</v>
      </c>
      <c r="N40" s="25">
        <f t="shared" si="3"/>
        <v>52</v>
      </c>
      <c r="O40" s="25">
        <v>99</v>
      </c>
      <c r="P40" s="25">
        <v>42.85</v>
      </c>
      <c r="Q40" s="27">
        <v>44912</v>
      </c>
      <c r="R40" s="23">
        <v>4129020332</v>
      </c>
      <c r="S40" s="23"/>
    </row>
    <row r="41" spans="1:19" x14ac:dyDescent="0.2">
      <c r="A41" s="16">
        <v>38</v>
      </c>
      <c r="B41" s="23" t="s">
        <v>207</v>
      </c>
      <c r="C41" s="23" t="s">
        <v>208</v>
      </c>
      <c r="D41" s="16">
        <v>543019</v>
      </c>
      <c r="E41" s="23" t="s">
        <v>252</v>
      </c>
      <c r="F41" s="23" t="s">
        <v>25</v>
      </c>
      <c r="G41" s="16" t="s">
        <v>26</v>
      </c>
      <c r="H41" s="24">
        <v>37993</v>
      </c>
      <c r="I41" s="23" t="s">
        <v>212</v>
      </c>
      <c r="J41" s="16" t="s">
        <v>210</v>
      </c>
      <c r="K41" s="30">
        <f>75+75+66</f>
        <v>216</v>
      </c>
      <c r="L41" s="31">
        <f t="shared" si="4"/>
        <v>72</v>
      </c>
      <c r="M41" s="30">
        <v>74</v>
      </c>
      <c r="N41" s="30">
        <f t="shared" si="3"/>
        <v>74</v>
      </c>
      <c r="O41" s="30">
        <v>200</v>
      </c>
      <c r="P41" s="30">
        <v>69.16</v>
      </c>
      <c r="Q41" s="27">
        <v>44867</v>
      </c>
      <c r="R41" s="23">
        <v>4106030353</v>
      </c>
      <c r="S41" s="23"/>
    </row>
    <row r="42" spans="1:19" x14ac:dyDescent="0.2">
      <c r="A42" s="16">
        <v>39</v>
      </c>
      <c r="B42" s="23" t="s">
        <v>207</v>
      </c>
      <c r="C42" s="23" t="s">
        <v>208</v>
      </c>
      <c r="D42" s="16">
        <v>684239</v>
      </c>
      <c r="E42" s="23" t="s">
        <v>253</v>
      </c>
      <c r="F42" s="23" t="s">
        <v>31</v>
      </c>
      <c r="G42" s="16" t="s">
        <v>26</v>
      </c>
      <c r="H42" s="24">
        <v>37967</v>
      </c>
      <c r="I42" s="23" t="s">
        <v>212</v>
      </c>
      <c r="J42" s="16" t="s">
        <v>214</v>
      </c>
      <c r="K42" s="25">
        <f>81+92+90</f>
        <v>263</v>
      </c>
      <c r="L42" s="26">
        <f t="shared" si="4"/>
        <v>87.666666666666671</v>
      </c>
      <c r="M42" s="25">
        <v>83</v>
      </c>
      <c r="N42" s="25">
        <f t="shared" si="3"/>
        <v>83</v>
      </c>
      <c r="O42" s="25">
        <v>157</v>
      </c>
      <c r="P42" s="25">
        <v>61.11</v>
      </c>
      <c r="Q42" s="27">
        <v>44892</v>
      </c>
      <c r="R42" s="23">
        <v>4112090262</v>
      </c>
      <c r="S42" s="23"/>
    </row>
    <row r="43" spans="1:19" x14ac:dyDescent="0.2">
      <c r="A43" s="16">
        <v>40</v>
      </c>
      <c r="B43" s="23" t="s">
        <v>207</v>
      </c>
      <c r="C43" s="23" t="s">
        <v>208</v>
      </c>
      <c r="D43" s="16">
        <v>837764</v>
      </c>
      <c r="E43" s="23" t="s">
        <v>254</v>
      </c>
      <c r="F43" s="23" t="s">
        <v>25</v>
      </c>
      <c r="G43" s="16" t="s">
        <v>26</v>
      </c>
      <c r="H43" s="24">
        <v>37857</v>
      </c>
      <c r="I43" s="23" t="s">
        <v>212</v>
      </c>
      <c r="J43" s="16" t="s">
        <v>210</v>
      </c>
      <c r="K43" s="25">
        <f>82+83+81</f>
        <v>246</v>
      </c>
      <c r="L43" s="26">
        <f t="shared" si="4"/>
        <v>82</v>
      </c>
      <c r="M43" s="25">
        <v>83</v>
      </c>
      <c r="N43" s="25">
        <f t="shared" si="3"/>
        <v>83</v>
      </c>
      <c r="O43" s="25">
        <v>124</v>
      </c>
      <c r="P43" s="25">
        <v>52.32</v>
      </c>
      <c r="Q43" s="27">
        <v>44894</v>
      </c>
      <c r="R43" s="23">
        <v>4119010559</v>
      </c>
      <c r="S43" s="23"/>
    </row>
    <row r="44" spans="1:19" x14ac:dyDescent="0.2">
      <c r="A44" s="16">
        <v>41</v>
      </c>
      <c r="B44" s="23" t="s">
        <v>207</v>
      </c>
      <c r="C44" s="23" t="s">
        <v>208</v>
      </c>
      <c r="D44" s="16">
        <v>304611</v>
      </c>
      <c r="E44" s="23" t="s">
        <v>255</v>
      </c>
      <c r="F44" s="23" t="s">
        <v>25</v>
      </c>
      <c r="G44" s="16" t="s">
        <v>26</v>
      </c>
      <c r="H44" s="24">
        <v>37911</v>
      </c>
      <c r="I44" s="23" t="s">
        <v>212</v>
      </c>
      <c r="J44" s="16" t="s">
        <v>210</v>
      </c>
      <c r="K44" s="30">
        <f>94+88+96</f>
        <v>278</v>
      </c>
      <c r="L44" s="31">
        <f t="shared" si="4"/>
        <v>92.666666666666657</v>
      </c>
      <c r="M44" s="30">
        <v>95</v>
      </c>
      <c r="N44" s="30">
        <f t="shared" si="3"/>
        <v>95</v>
      </c>
      <c r="O44" s="30">
        <v>310</v>
      </c>
      <c r="P44" s="30">
        <v>82.69</v>
      </c>
      <c r="Q44" s="27">
        <v>44867</v>
      </c>
      <c r="R44" s="23">
        <v>4101160676</v>
      </c>
      <c r="S44" s="23"/>
    </row>
    <row r="45" spans="1:19" x14ac:dyDescent="0.2">
      <c r="A45" s="16">
        <v>42</v>
      </c>
      <c r="B45" s="23" t="s">
        <v>207</v>
      </c>
      <c r="C45" s="23" t="s">
        <v>208</v>
      </c>
      <c r="D45" s="16">
        <v>195804</v>
      </c>
      <c r="E45" s="23" t="s">
        <v>256</v>
      </c>
      <c r="F45" s="23" t="s">
        <v>31</v>
      </c>
      <c r="G45" s="16" t="s">
        <v>26</v>
      </c>
      <c r="H45" s="24">
        <v>38267</v>
      </c>
      <c r="I45" s="23" t="s">
        <v>212</v>
      </c>
      <c r="J45" s="16" t="s">
        <v>210</v>
      </c>
      <c r="K45" s="30">
        <f>90.41+92.13+90.13</f>
        <v>272.66999999999996</v>
      </c>
      <c r="L45" s="31">
        <f t="shared" si="4"/>
        <v>90.889999999999986</v>
      </c>
      <c r="M45" s="30">
        <v>94.95</v>
      </c>
      <c r="N45" s="30">
        <f t="shared" si="3"/>
        <v>94.95</v>
      </c>
      <c r="O45" s="30">
        <v>385</v>
      </c>
      <c r="P45" s="30">
        <v>88.83</v>
      </c>
      <c r="Q45" s="27">
        <v>44866</v>
      </c>
      <c r="R45" s="23">
        <v>4114060177</v>
      </c>
      <c r="S45" s="23"/>
    </row>
    <row r="46" spans="1:19" x14ac:dyDescent="0.2">
      <c r="A46" s="16">
        <v>43</v>
      </c>
      <c r="B46" s="23" t="s">
        <v>207</v>
      </c>
      <c r="C46" s="23" t="s">
        <v>208</v>
      </c>
      <c r="D46" s="16">
        <v>334747</v>
      </c>
      <c r="E46" s="23" t="s">
        <v>257</v>
      </c>
      <c r="F46" s="23" t="s">
        <v>31</v>
      </c>
      <c r="G46" s="16" t="s">
        <v>26</v>
      </c>
      <c r="H46" s="24">
        <v>38021</v>
      </c>
      <c r="I46" s="23" t="s">
        <v>212</v>
      </c>
      <c r="J46" s="16" t="s">
        <v>210</v>
      </c>
      <c r="K46" s="30">
        <f>96.6+89.74+94.03</f>
        <v>280.37</v>
      </c>
      <c r="L46" s="31">
        <f t="shared" si="4"/>
        <v>93.456666666666663</v>
      </c>
      <c r="M46" s="30">
        <v>95.61</v>
      </c>
      <c r="N46" s="30">
        <f t="shared" si="3"/>
        <v>95.61</v>
      </c>
      <c r="O46" s="30">
        <v>293</v>
      </c>
      <c r="P46" s="30">
        <v>81.010000000000005</v>
      </c>
      <c r="Q46" s="27" t="s">
        <v>258</v>
      </c>
      <c r="R46" s="23">
        <v>4122021000</v>
      </c>
      <c r="S46" s="23"/>
    </row>
    <row r="47" spans="1:19" x14ac:dyDescent="0.2">
      <c r="A47" s="16">
        <v>44</v>
      </c>
      <c r="B47" s="23" t="s">
        <v>207</v>
      </c>
      <c r="C47" s="23" t="s">
        <v>208</v>
      </c>
      <c r="D47" s="16">
        <v>403868</v>
      </c>
      <c r="E47" s="23" t="s">
        <v>259</v>
      </c>
      <c r="F47" s="23" t="s">
        <v>31</v>
      </c>
      <c r="G47" s="16" t="s">
        <v>26</v>
      </c>
      <c r="H47" s="24">
        <v>37939</v>
      </c>
      <c r="I47" s="23" t="s">
        <v>212</v>
      </c>
      <c r="J47" s="16" t="s">
        <v>210</v>
      </c>
      <c r="K47" s="25">
        <f>67+71+52+89</f>
        <v>279</v>
      </c>
      <c r="L47" s="26">
        <f>K47/400*100</f>
        <v>69.75</v>
      </c>
      <c r="M47" s="25">
        <v>84</v>
      </c>
      <c r="N47" s="25">
        <f t="shared" si="3"/>
        <v>84</v>
      </c>
      <c r="O47" s="25">
        <v>257</v>
      </c>
      <c r="P47" s="25">
        <v>77.05</v>
      </c>
      <c r="Q47" s="27">
        <v>44868</v>
      </c>
      <c r="R47" s="23">
        <v>4109070355</v>
      </c>
      <c r="S47" s="23"/>
    </row>
    <row r="48" spans="1:19" x14ac:dyDescent="0.2">
      <c r="A48" s="16">
        <v>45</v>
      </c>
      <c r="B48" s="23" t="s">
        <v>207</v>
      </c>
      <c r="C48" s="23" t="s">
        <v>208</v>
      </c>
      <c r="D48" s="16">
        <v>89050</v>
      </c>
      <c r="E48" s="23" t="s">
        <v>260</v>
      </c>
      <c r="F48" s="23" t="s">
        <v>31</v>
      </c>
      <c r="G48" s="16" t="s">
        <v>26</v>
      </c>
      <c r="H48" s="24">
        <v>37980</v>
      </c>
      <c r="I48" s="23" t="s">
        <v>32</v>
      </c>
      <c r="J48" s="16" t="s">
        <v>210</v>
      </c>
      <c r="K48" s="25">
        <f>94.79+97.36+94.79</f>
        <v>286.94</v>
      </c>
      <c r="L48" s="26">
        <f>K48/300*100</f>
        <v>95.646666666666675</v>
      </c>
      <c r="M48" s="25">
        <v>96.06</v>
      </c>
      <c r="N48" s="25">
        <f t="shared" si="3"/>
        <v>96.06</v>
      </c>
      <c r="O48" s="25">
        <v>493</v>
      </c>
      <c r="P48" s="23">
        <v>94.92</v>
      </c>
      <c r="Q48" s="27">
        <v>44893</v>
      </c>
      <c r="R48" s="23">
        <v>4108010507</v>
      </c>
      <c r="S48" s="23">
        <v>450000</v>
      </c>
    </row>
    <row r="49" spans="1:19" x14ac:dyDescent="0.2">
      <c r="A49" s="16">
        <v>46</v>
      </c>
      <c r="B49" s="23" t="s">
        <v>207</v>
      </c>
      <c r="C49" s="23" t="s">
        <v>208</v>
      </c>
      <c r="D49" s="16">
        <v>79171</v>
      </c>
      <c r="E49" s="23" t="s">
        <v>261</v>
      </c>
      <c r="F49" s="23" t="s">
        <v>31</v>
      </c>
      <c r="G49" s="16" t="s">
        <v>26</v>
      </c>
      <c r="H49" s="24">
        <v>37531</v>
      </c>
      <c r="I49" s="23" t="s">
        <v>32</v>
      </c>
      <c r="J49" s="16" t="s">
        <v>210</v>
      </c>
      <c r="K49" s="25">
        <f>70+75+78</f>
        <v>223</v>
      </c>
      <c r="L49" s="26">
        <f>K49/300*100</f>
        <v>74.333333333333329</v>
      </c>
      <c r="M49" s="25">
        <v>72</v>
      </c>
      <c r="N49" s="25">
        <f t="shared" si="3"/>
        <v>72</v>
      </c>
      <c r="O49" s="25">
        <v>506</v>
      </c>
      <c r="P49" s="25">
        <v>95.49</v>
      </c>
      <c r="Q49" s="27">
        <v>44866</v>
      </c>
      <c r="R49" s="23">
        <v>4113020395</v>
      </c>
      <c r="S49" s="23">
        <v>450000</v>
      </c>
    </row>
    <row r="50" spans="1:19" x14ac:dyDescent="0.2">
      <c r="A50" s="16">
        <v>47</v>
      </c>
      <c r="B50" s="23" t="s">
        <v>207</v>
      </c>
      <c r="C50" s="23" t="s">
        <v>208</v>
      </c>
      <c r="D50" s="16">
        <v>388865</v>
      </c>
      <c r="E50" s="23" t="s">
        <v>262</v>
      </c>
      <c r="F50" s="23" t="s">
        <v>31</v>
      </c>
      <c r="G50" s="16" t="s">
        <v>26</v>
      </c>
      <c r="H50" s="24">
        <v>36833</v>
      </c>
      <c r="I50" s="23" t="s">
        <v>212</v>
      </c>
      <c r="J50" s="16" t="s">
        <v>210</v>
      </c>
      <c r="K50" s="30">
        <f>153+157+161+153</f>
        <v>624</v>
      </c>
      <c r="L50" s="31">
        <f>K50/800*100</f>
        <v>78</v>
      </c>
      <c r="M50" s="30">
        <v>165</v>
      </c>
      <c r="N50" s="30">
        <f>M50/200*100</f>
        <v>82.5</v>
      </c>
      <c r="O50" s="30">
        <v>264</v>
      </c>
      <c r="P50" s="30">
        <v>77.86</v>
      </c>
      <c r="Q50" s="27">
        <v>44867</v>
      </c>
      <c r="R50" s="23">
        <v>4106020681</v>
      </c>
      <c r="S50" s="23"/>
    </row>
    <row r="51" spans="1:19" x14ac:dyDescent="0.2">
      <c r="A51" s="16">
        <v>48</v>
      </c>
      <c r="B51" s="23" t="s">
        <v>207</v>
      </c>
      <c r="C51" s="23" t="s">
        <v>208</v>
      </c>
      <c r="D51" s="16">
        <v>84471</v>
      </c>
      <c r="E51" s="23" t="s">
        <v>263</v>
      </c>
      <c r="F51" s="23" t="s">
        <v>25</v>
      </c>
      <c r="G51" s="16" t="s">
        <v>26</v>
      </c>
      <c r="H51" s="24">
        <v>38418</v>
      </c>
      <c r="I51" s="23" t="s">
        <v>32</v>
      </c>
      <c r="J51" s="16" t="s">
        <v>210</v>
      </c>
      <c r="K51" s="25">
        <f>95+94+81</f>
        <v>270</v>
      </c>
      <c r="L51" s="26">
        <f>K51/300*100</f>
        <v>90</v>
      </c>
      <c r="M51" s="25">
        <v>91</v>
      </c>
      <c r="N51" s="25">
        <f>M51/100*100</f>
        <v>91</v>
      </c>
      <c r="O51" s="25">
        <v>499</v>
      </c>
      <c r="P51" s="25">
        <v>95.18</v>
      </c>
      <c r="Q51" s="27">
        <v>44895</v>
      </c>
      <c r="R51" s="23">
        <v>4101150348</v>
      </c>
      <c r="S51" s="23">
        <v>450000</v>
      </c>
    </row>
    <row r="52" spans="1:19" x14ac:dyDescent="0.2">
      <c r="A52" s="16">
        <v>49</v>
      </c>
      <c r="B52" s="23" t="s">
        <v>207</v>
      </c>
      <c r="C52" s="23" t="s">
        <v>208</v>
      </c>
      <c r="D52" s="16">
        <v>76755</v>
      </c>
      <c r="E52" s="23" t="s">
        <v>264</v>
      </c>
      <c r="F52" s="23" t="s">
        <v>25</v>
      </c>
      <c r="G52" s="16" t="s">
        <v>26</v>
      </c>
      <c r="H52" s="24">
        <v>36859</v>
      </c>
      <c r="I52" s="23" t="s">
        <v>32</v>
      </c>
      <c r="J52" s="16" t="s">
        <v>210</v>
      </c>
      <c r="K52" s="25">
        <f>185+154+150</f>
        <v>489</v>
      </c>
      <c r="L52" s="26">
        <f>K52/600*100</f>
        <v>81.5</v>
      </c>
      <c r="M52" s="25">
        <v>177</v>
      </c>
      <c r="N52" s="25">
        <f>M52/200*100</f>
        <v>88.5</v>
      </c>
      <c r="O52" s="25">
        <v>509</v>
      </c>
      <c r="P52" s="25">
        <v>95.61</v>
      </c>
      <c r="Q52" s="27">
        <v>44868</v>
      </c>
      <c r="R52" s="23">
        <v>4109030520</v>
      </c>
      <c r="S52" s="23">
        <v>450000</v>
      </c>
    </row>
    <row r="53" spans="1:19" x14ac:dyDescent="0.2">
      <c r="A53" s="16">
        <v>50</v>
      </c>
      <c r="B53" s="23" t="s">
        <v>207</v>
      </c>
      <c r="C53" s="23" t="s">
        <v>208</v>
      </c>
      <c r="D53" s="16">
        <v>82016</v>
      </c>
      <c r="E53" s="23" t="s">
        <v>265</v>
      </c>
      <c r="F53" s="23" t="s">
        <v>31</v>
      </c>
      <c r="G53" s="16" t="s">
        <v>26</v>
      </c>
      <c r="H53" s="24">
        <v>37265</v>
      </c>
      <c r="I53" s="23" t="s">
        <v>32</v>
      </c>
      <c r="J53" s="16" t="s">
        <v>210</v>
      </c>
      <c r="K53" s="25">
        <f>76+76+75</f>
        <v>227</v>
      </c>
      <c r="L53" s="26">
        <f t="shared" ref="L53:L67" si="5">K53/300*100</f>
        <v>75.666666666666671</v>
      </c>
      <c r="M53" s="25">
        <v>94</v>
      </c>
      <c r="N53" s="25">
        <f t="shared" ref="N53:N67" si="6">M53/100*100</f>
        <v>94</v>
      </c>
      <c r="O53" s="25">
        <v>502</v>
      </c>
      <c r="P53" s="25">
        <v>95.31</v>
      </c>
      <c r="Q53" s="27">
        <v>44868</v>
      </c>
      <c r="R53" s="23">
        <v>4108020550</v>
      </c>
      <c r="S53" s="23">
        <v>450000</v>
      </c>
    </row>
    <row r="54" spans="1:19" x14ac:dyDescent="0.2">
      <c r="A54" s="16">
        <v>51</v>
      </c>
      <c r="B54" s="23" t="s">
        <v>207</v>
      </c>
      <c r="C54" s="23" t="s">
        <v>208</v>
      </c>
      <c r="D54" s="16">
        <v>236216</v>
      </c>
      <c r="E54" s="23" t="s">
        <v>266</v>
      </c>
      <c r="F54" s="23" t="s">
        <v>31</v>
      </c>
      <c r="G54" s="16" t="s">
        <v>26</v>
      </c>
      <c r="H54" s="24">
        <v>37174</v>
      </c>
      <c r="I54" s="23" t="s">
        <v>32</v>
      </c>
      <c r="J54" s="16" t="s">
        <v>241</v>
      </c>
      <c r="K54" s="25">
        <f>78+68+73</f>
        <v>219</v>
      </c>
      <c r="L54" s="26">
        <f t="shared" si="5"/>
        <v>73</v>
      </c>
      <c r="M54" s="25">
        <v>74</v>
      </c>
      <c r="N54" s="25">
        <f t="shared" si="6"/>
        <v>74</v>
      </c>
      <c r="O54" s="25">
        <v>354</v>
      </c>
      <c r="P54" s="25">
        <v>86.54</v>
      </c>
      <c r="Q54" s="27">
        <v>44867</v>
      </c>
      <c r="R54" s="23">
        <v>4108040537</v>
      </c>
      <c r="S54" s="23">
        <v>450000</v>
      </c>
    </row>
    <row r="55" spans="1:19" x14ac:dyDescent="0.2">
      <c r="A55" s="16">
        <v>52</v>
      </c>
      <c r="B55" s="23" t="s">
        <v>207</v>
      </c>
      <c r="C55" s="23" t="s">
        <v>208</v>
      </c>
      <c r="D55" s="16">
        <v>100947</v>
      </c>
      <c r="E55" s="23" t="s">
        <v>267</v>
      </c>
      <c r="F55" s="23" t="s">
        <v>31</v>
      </c>
      <c r="G55" s="16" t="s">
        <v>26</v>
      </c>
      <c r="H55" s="24">
        <v>37299</v>
      </c>
      <c r="I55" s="23" t="s">
        <v>32</v>
      </c>
      <c r="J55" s="16" t="s">
        <v>214</v>
      </c>
      <c r="K55" s="25">
        <f>63+72+90</f>
        <v>225</v>
      </c>
      <c r="L55" s="26">
        <f t="shared" si="5"/>
        <v>75</v>
      </c>
      <c r="M55" s="25">
        <v>97</v>
      </c>
      <c r="N55" s="25">
        <f t="shared" si="6"/>
        <v>97</v>
      </c>
      <c r="O55" s="25">
        <v>479</v>
      </c>
      <c r="P55" s="23">
        <v>94.27</v>
      </c>
      <c r="Q55" s="27">
        <v>44894</v>
      </c>
      <c r="R55" s="23">
        <v>4108050043</v>
      </c>
      <c r="S55" s="23">
        <v>450000</v>
      </c>
    </row>
    <row r="56" spans="1:19" x14ac:dyDescent="0.2">
      <c r="A56" s="16">
        <v>53</v>
      </c>
      <c r="B56" s="23" t="s">
        <v>207</v>
      </c>
      <c r="C56" s="23" t="s">
        <v>208</v>
      </c>
      <c r="D56" s="16">
        <v>430763</v>
      </c>
      <c r="E56" s="23" t="s">
        <v>268</v>
      </c>
      <c r="F56" s="23" t="s">
        <v>31</v>
      </c>
      <c r="G56" s="16" t="s">
        <v>26</v>
      </c>
      <c r="H56" s="24">
        <v>38309</v>
      </c>
      <c r="I56" s="23" t="s">
        <v>269</v>
      </c>
      <c r="J56" s="16" t="s">
        <v>44</v>
      </c>
      <c r="K56" s="25">
        <f>96+92+100</f>
        <v>288</v>
      </c>
      <c r="L56" s="26">
        <f t="shared" si="5"/>
        <v>96</v>
      </c>
      <c r="M56" s="25">
        <v>93</v>
      </c>
      <c r="N56" s="25">
        <f t="shared" si="6"/>
        <v>93</v>
      </c>
      <c r="O56" s="25">
        <v>245</v>
      </c>
      <c r="P56" s="25">
        <v>75.55</v>
      </c>
      <c r="Q56" s="27">
        <v>44862</v>
      </c>
      <c r="R56" s="23">
        <v>4110040104</v>
      </c>
      <c r="S56" s="23">
        <v>450000</v>
      </c>
    </row>
    <row r="57" spans="1:19" x14ac:dyDescent="0.2">
      <c r="A57" s="16">
        <v>54</v>
      </c>
      <c r="B57" s="23" t="s">
        <v>207</v>
      </c>
      <c r="C57" s="23" t="s">
        <v>208</v>
      </c>
      <c r="D57" s="16">
        <v>226786</v>
      </c>
      <c r="E57" s="23" t="s">
        <v>270</v>
      </c>
      <c r="F57" s="23" t="s">
        <v>31</v>
      </c>
      <c r="G57" s="16" t="s">
        <v>26</v>
      </c>
      <c r="H57" s="24">
        <v>37844</v>
      </c>
      <c r="I57" s="23" t="s">
        <v>212</v>
      </c>
      <c r="J57" s="16" t="s">
        <v>210</v>
      </c>
      <c r="K57" s="25">
        <f>93+90+95</f>
        <v>278</v>
      </c>
      <c r="L57" s="26">
        <f t="shared" si="5"/>
        <v>92.666666666666657</v>
      </c>
      <c r="M57" s="25">
        <v>81</v>
      </c>
      <c r="N57" s="25">
        <f t="shared" si="6"/>
        <v>81</v>
      </c>
      <c r="O57" s="25">
        <v>361</v>
      </c>
      <c r="P57" s="25">
        <v>87.08</v>
      </c>
      <c r="Q57" s="27">
        <v>44868</v>
      </c>
      <c r="R57" s="23">
        <v>4122011070</v>
      </c>
      <c r="S57" s="23"/>
    </row>
    <row r="58" spans="1:19" x14ac:dyDescent="0.2">
      <c r="A58" s="16">
        <v>55</v>
      </c>
      <c r="B58" s="23" t="s">
        <v>207</v>
      </c>
      <c r="C58" s="23" t="s">
        <v>208</v>
      </c>
      <c r="D58" s="16">
        <v>256457</v>
      </c>
      <c r="E58" s="23" t="s">
        <v>271</v>
      </c>
      <c r="F58" s="23" t="s">
        <v>31</v>
      </c>
      <c r="G58" s="16" t="s">
        <v>26</v>
      </c>
      <c r="H58" s="24">
        <v>38310</v>
      </c>
      <c r="I58" s="23" t="s">
        <v>212</v>
      </c>
      <c r="J58" s="16" t="s">
        <v>210</v>
      </c>
      <c r="K58" s="25">
        <f>95+95+93</f>
        <v>283</v>
      </c>
      <c r="L58" s="26">
        <f t="shared" si="5"/>
        <v>94.333333333333343</v>
      </c>
      <c r="M58" s="25">
        <v>92</v>
      </c>
      <c r="N58" s="25">
        <f t="shared" si="6"/>
        <v>92</v>
      </c>
      <c r="O58" s="25">
        <v>340</v>
      </c>
      <c r="P58" s="25">
        <v>85.39</v>
      </c>
      <c r="Q58" s="27">
        <v>44868</v>
      </c>
      <c r="R58" s="23">
        <v>4120021010</v>
      </c>
      <c r="S58" s="23"/>
    </row>
    <row r="59" spans="1:19" x14ac:dyDescent="0.2">
      <c r="A59" s="16">
        <v>56</v>
      </c>
      <c r="B59" s="23" t="s">
        <v>207</v>
      </c>
      <c r="C59" s="23" t="s">
        <v>208</v>
      </c>
      <c r="D59" s="16">
        <v>570441</v>
      </c>
      <c r="E59" s="23" t="s">
        <v>272</v>
      </c>
      <c r="F59" s="23" t="s">
        <v>25</v>
      </c>
      <c r="G59" s="16" t="s">
        <v>26</v>
      </c>
      <c r="H59" s="24">
        <v>38508</v>
      </c>
      <c r="I59" s="23" t="s">
        <v>212</v>
      </c>
      <c r="J59" s="16" t="s">
        <v>210</v>
      </c>
      <c r="K59" s="30">
        <f>81+84+86</f>
        <v>251</v>
      </c>
      <c r="L59" s="31">
        <f t="shared" si="5"/>
        <v>83.666666666666671</v>
      </c>
      <c r="M59" s="30">
        <v>87</v>
      </c>
      <c r="N59" s="30">
        <f t="shared" si="6"/>
        <v>87</v>
      </c>
      <c r="O59" s="30">
        <v>190</v>
      </c>
      <c r="P59" s="30">
        <v>67.5</v>
      </c>
      <c r="Q59" s="27">
        <v>44867</v>
      </c>
      <c r="R59" s="23">
        <v>4103030136</v>
      </c>
      <c r="S59" s="23"/>
    </row>
    <row r="60" spans="1:19" x14ac:dyDescent="0.2">
      <c r="A60" s="16">
        <v>57</v>
      </c>
      <c r="B60" s="23" t="s">
        <v>207</v>
      </c>
      <c r="C60" s="23" t="s">
        <v>208</v>
      </c>
      <c r="D60" s="16">
        <v>67401</v>
      </c>
      <c r="E60" s="23" t="s">
        <v>273</v>
      </c>
      <c r="F60" s="23" t="s">
        <v>25</v>
      </c>
      <c r="G60" s="16" t="s">
        <v>26</v>
      </c>
      <c r="H60" s="24">
        <v>37353</v>
      </c>
      <c r="I60" s="23" t="s">
        <v>32</v>
      </c>
      <c r="J60" s="16" t="s">
        <v>210</v>
      </c>
      <c r="K60" s="25">
        <f>88+94+83</f>
        <v>265</v>
      </c>
      <c r="L60" s="26">
        <f t="shared" si="5"/>
        <v>88.333333333333329</v>
      </c>
      <c r="M60" s="25">
        <v>96</v>
      </c>
      <c r="N60" s="25">
        <f t="shared" si="6"/>
        <v>96</v>
      </c>
      <c r="O60" s="25">
        <v>522</v>
      </c>
      <c r="P60" s="25">
        <v>96.14</v>
      </c>
      <c r="Q60" s="27">
        <v>44868</v>
      </c>
      <c r="R60" s="23">
        <v>4109070590</v>
      </c>
      <c r="S60" s="23">
        <v>450000</v>
      </c>
    </row>
    <row r="61" spans="1:19" x14ac:dyDescent="0.2">
      <c r="A61" s="16">
        <v>58</v>
      </c>
      <c r="B61" s="23" t="s">
        <v>207</v>
      </c>
      <c r="C61" s="23" t="s">
        <v>208</v>
      </c>
      <c r="D61" s="16">
        <v>307994</v>
      </c>
      <c r="E61" s="23" t="s">
        <v>274</v>
      </c>
      <c r="F61" s="23" t="s">
        <v>25</v>
      </c>
      <c r="G61" s="16" t="s">
        <v>26</v>
      </c>
      <c r="H61" s="24">
        <v>37692</v>
      </c>
      <c r="I61" s="23" t="s">
        <v>212</v>
      </c>
      <c r="J61" s="16" t="s">
        <v>222</v>
      </c>
      <c r="K61" s="25">
        <f>68+66+58</f>
        <v>192</v>
      </c>
      <c r="L61" s="26">
        <f t="shared" si="5"/>
        <v>64</v>
      </c>
      <c r="M61" s="25">
        <v>67</v>
      </c>
      <c r="N61" s="25">
        <f t="shared" si="6"/>
        <v>67</v>
      </c>
      <c r="O61" s="25">
        <v>308</v>
      </c>
      <c r="P61" s="25">
        <v>82.5</v>
      </c>
      <c r="Q61" s="27">
        <v>44893</v>
      </c>
      <c r="R61" s="23">
        <v>1215010193</v>
      </c>
      <c r="S61" s="23"/>
    </row>
    <row r="62" spans="1:19" x14ac:dyDescent="0.2">
      <c r="A62" s="16">
        <v>59</v>
      </c>
      <c r="B62" s="23" t="s">
        <v>207</v>
      </c>
      <c r="C62" s="23" t="s">
        <v>208</v>
      </c>
      <c r="D62" s="16">
        <v>110794</v>
      </c>
      <c r="E62" s="23" t="s">
        <v>275</v>
      </c>
      <c r="F62" s="23" t="s">
        <v>25</v>
      </c>
      <c r="G62" s="16" t="s">
        <v>26</v>
      </c>
      <c r="H62" s="24" t="s">
        <v>276</v>
      </c>
      <c r="I62" s="23" t="s">
        <v>32</v>
      </c>
      <c r="J62" s="16" t="s">
        <v>214</v>
      </c>
      <c r="K62" s="25">
        <f>94.14+97+89</f>
        <v>280.14</v>
      </c>
      <c r="L62" s="26">
        <f t="shared" si="5"/>
        <v>93.38</v>
      </c>
      <c r="M62" s="25">
        <v>93.44</v>
      </c>
      <c r="N62" s="25">
        <f t="shared" si="6"/>
        <v>93.44</v>
      </c>
      <c r="O62" s="25">
        <v>467</v>
      </c>
      <c r="P62" s="23">
        <v>93.69</v>
      </c>
      <c r="Q62" s="27">
        <v>44893</v>
      </c>
      <c r="R62" s="23">
        <v>4103050101</v>
      </c>
      <c r="S62" s="23">
        <v>450000</v>
      </c>
    </row>
    <row r="63" spans="1:19" x14ac:dyDescent="0.2">
      <c r="A63" s="16">
        <v>60</v>
      </c>
      <c r="B63" s="23" t="s">
        <v>207</v>
      </c>
      <c r="C63" s="23" t="s">
        <v>208</v>
      </c>
      <c r="D63" s="16">
        <v>608100</v>
      </c>
      <c r="E63" s="23" t="s">
        <v>277</v>
      </c>
      <c r="F63" s="23" t="s">
        <v>25</v>
      </c>
      <c r="G63" s="16" t="s">
        <v>26</v>
      </c>
      <c r="H63" s="24">
        <v>38042</v>
      </c>
      <c r="I63" s="23" t="s">
        <v>212</v>
      </c>
      <c r="J63" s="16" t="s">
        <v>222</v>
      </c>
      <c r="K63" s="25">
        <f>81.7+87.41+81.41</f>
        <v>250.52</v>
      </c>
      <c r="L63" s="26">
        <f t="shared" si="5"/>
        <v>83.506666666666675</v>
      </c>
      <c r="M63" s="25">
        <v>81.73</v>
      </c>
      <c r="N63" s="25">
        <f t="shared" si="6"/>
        <v>81.73</v>
      </c>
      <c r="O63" s="25">
        <v>178</v>
      </c>
      <c r="P63" s="25">
        <v>65.36</v>
      </c>
      <c r="Q63" s="27">
        <v>44893</v>
      </c>
      <c r="R63" s="23">
        <v>4101290271</v>
      </c>
      <c r="S63" s="23"/>
    </row>
    <row r="64" spans="1:19" x14ac:dyDescent="0.2">
      <c r="A64" s="16">
        <v>61</v>
      </c>
      <c r="B64" s="23" t="s">
        <v>207</v>
      </c>
      <c r="C64" s="23" t="s">
        <v>208</v>
      </c>
      <c r="D64" s="16">
        <v>98431</v>
      </c>
      <c r="E64" s="23" t="s">
        <v>278</v>
      </c>
      <c r="F64" s="23" t="s">
        <v>31</v>
      </c>
      <c r="G64" s="16" t="s">
        <v>26</v>
      </c>
      <c r="H64" s="24">
        <v>37388</v>
      </c>
      <c r="I64" s="23" t="s">
        <v>32</v>
      </c>
      <c r="J64" s="16" t="s">
        <v>214</v>
      </c>
      <c r="K64" s="25">
        <f>73+86+68</f>
        <v>227</v>
      </c>
      <c r="L64" s="26">
        <f t="shared" si="5"/>
        <v>75.666666666666671</v>
      </c>
      <c r="M64" s="25">
        <v>80</v>
      </c>
      <c r="N64" s="25">
        <f t="shared" si="6"/>
        <v>80</v>
      </c>
      <c r="O64" s="25">
        <v>482</v>
      </c>
      <c r="P64" s="25">
        <v>94.41</v>
      </c>
      <c r="Q64" s="27">
        <v>44868</v>
      </c>
      <c r="R64" s="23">
        <v>4122050153</v>
      </c>
      <c r="S64" s="23">
        <v>450000</v>
      </c>
    </row>
    <row r="65" spans="1:19" x14ac:dyDescent="0.2">
      <c r="A65" s="16">
        <v>62</v>
      </c>
      <c r="B65" s="23" t="s">
        <v>207</v>
      </c>
      <c r="C65" s="23" t="s">
        <v>208</v>
      </c>
      <c r="D65" s="16">
        <v>485497</v>
      </c>
      <c r="E65" s="23" t="s">
        <v>279</v>
      </c>
      <c r="F65" s="23" t="s">
        <v>25</v>
      </c>
      <c r="G65" s="16" t="s">
        <v>26</v>
      </c>
      <c r="H65" s="24">
        <v>38207</v>
      </c>
      <c r="I65" s="23" t="s">
        <v>212</v>
      </c>
      <c r="J65" s="16" t="s">
        <v>210</v>
      </c>
      <c r="K65" s="30">
        <f>67+74+85</f>
        <v>226</v>
      </c>
      <c r="L65" s="31">
        <f t="shared" si="5"/>
        <v>75.333333333333329</v>
      </c>
      <c r="M65" s="30">
        <v>92</v>
      </c>
      <c r="N65" s="30">
        <f t="shared" si="6"/>
        <v>92</v>
      </c>
      <c r="O65" s="30">
        <v>221</v>
      </c>
      <c r="P65" s="30">
        <v>72.36</v>
      </c>
      <c r="Q65" s="27">
        <v>44869</v>
      </c>
      <c r="R65" s="23">
        <v>4102070777</v>
      </c>
      <c r="S65" s="23"/>
    </row>
    <row r="66" spans="1:19" x14ac:dyDescent="0.2">
      <c r="A66" s="16">
        <v>63</v>
      </c>
      <c r="B66" s="23" t="s">
        <v>207</v>
      </c>
      <c r="C66" s="23" t="s">
        <v>208</v>
      </c>
      <c r="D66" s="16">
        <v>959463</v>
      </c>
      <c r="E66" s="23" t="s">
        <v>280</v>
      </c>
      <c r="F66" s="23" t="s">
        <v>25</v>
      </c>
      <c r="G66" s="16" t="s">
        <v>26</v>
      </c>
      <c r="H66" s="24">
        <v>38426</v>
      </c>
      <c r="I66" s="23" t="s">
        <v>212</v>
      </c>
      <c r="J66" s="16" t="s">
        <v>214</v>
      </c>
      <c r="K66" s="25">
        <f>70+76+82</f>
        <v>228</v>
      </c>
      <c r="L66" s="26">
        <f t="shared" si="5"/>
        <v>76</v>
      </c>
      <c r="M66" s="25">
        <v>87</v>
      </c>
      <c r="N66" s="25">
        <f t="shared" si="6"/>
        <v>87</v>
      </c>
      <c r="O66" s="25">
        <v>105</v>
      </c>
      <c r="P66" s="25">
        <v>45.33</v>
      </c>
      <c r="Q66" s="27">
        <v>44912</v>
      </c>
      <c r="R66" s="23">
        <v>4114030515</v>
      </c>
      <c r="S66" s="23"/>
    </row>
    <row r="67" spans="1:19" x14ac:dyDescent="0.2">
      <c r="A67" s="16">
        <v>64</v>
      </c>
      <c r="B67" s="23" t="s">
        <v>207</v>
      </c>
      <c r="C67" s="23" t="s">
        <v>208</v>
      </c>
      <c r="D67" s="16">
        <v>91529</v>
      </c>
      <c r="E67" s="23" t="s">
        <v>281</v>
      </c>
      <c r="F67" s="23" t="s">
        <v>25</v>
      </c>
      <c r="G67" s="16" t="s">
        <v>26</v>
      </c>
      <c r="H67" s="24">
        <v>37842</v>
      </c>
      <c r="I67" s="23" t="s">
        <v>32</v>
      </c>
      <c r="J67" s="16" t="s">
        <v>210</v>
      </c>
      <c r="K67" s="25">
        <f>82+81+72</f>
        <v>235</v>
      </c>
      <c r="L67" s="26">
        <f t="shared" si="5"/>
        <v>78.333333333333329</v>
      </c>
      <c r="M67" s="25">
        <v>87</v>
      </c>
      <c r="N67" s="25">
        <f t="shared" si="6"/>
        <v>87</v>
      </c>
      <c r="O67" s="25">
        <v>490</v>
      </c>
      <c r="P67" s="23">
        <v>94.78</v>
      </c>
      <c r="Q67" s="27">
        <v>44893</v>
      </c>
      <c r="R67" s="23">
        <v>4114100041</v>
      </c>
      <c r="S67" s="23">
        <v>450000</v>
      </c>
    </row>
    <row r="68" spans="1:19" x14ac:dyDescent="0.2">
      <c r="A68" s="16">
        <v>65</v>
      </c>
      <c r="B68" s="23" t="s">
        <v>207</v>
      </c>
      <c r="C68" s="23" t="s">
        <v>208</v>
      </c>
      <c r="D68" s="16">
        <v>98549</v>
      </c>
      <c r="E68" s="23" t="s">
        <v>282</v>
      </c>
      <c r="F68" s="23" t="s">
        <v>31</v>
      </c>
      <c r="G68" s="16" t="s">
        <v>26</v>
      </c>
      <c r="H68" s="24">
        <v>37141</v>
      </c>
      <c r="I68" s="23" t="s">
        <v>32</v>
      </c>
      <c r="J68" s="16" t="s">
        <v>214</v>
      </c>
      <c r="K68" s="25">
        <f>166+177+150</f>
        <v>493</v>
      </c>
      <c r="L68" s="26">
        <f>K68/600*100</f>
        <v>82.166666666666671</v>
      </c>
      <c r="M68" s="25">
        <v>177</v>
      </c>
      <c r="N68" s="25">
        <f>M68/200*100</f>
        <v>88.5</v>
      </c>
      <c r="O68" s="25">
        <v>481</v>
      </c>
      <c r="P68" s="25">
        <v>94.36</v>
      </c>
      <c r="Q68" s="27">
        <v>44895</v>
      </c>
      <c r="R68" s="32">
        <v>4109020009</v>
      </c>
      <c r="S68" s="23">
        <v>450000</v>
      </c>
    </row>
    <row r="69" spans="1:19" x14ac:dyDescent="0.2">
      <c r="A69" s="16">
        <v>66</v>
      </c>
      <c r="B69" s="23" t="s">
        <v>207</v>
      </c>
      <c r="C69" s="23" t="s">
        <v>208</v>
      </c>
      <c r="D69" s="16">
        <v>187530</v>
      </c>
      <c r="E69" s="23" t="s">
        <v>283</v>
      </c>
      <c r="F69" s="23" t="s">
        <v>25</v>
      </c>
      <c r="G69" s="16" t="s">
        <v>26</v>
      </c>
      <c r="H69" s="24">
        <v>37915</v>
      </c>
      <c r="I69" s="23" t="s">
        <v>32</v>
      </c>
      <c r="J69" s="16" t="s">
        <v>44</v>
      </c>
      <c r="K69" s="25">
        <f>75+74+85</f>
        <v>234</v>
      </c>
      <c r="L69" s="26">
        <f>K69/300*100</f>
        <v>78</v>
      </c>
      <c r="M69" s="25">
        <v>85</v>
      </c>
      <c r="N69" s="25">
        <f>M69/100*100</f>
        <v>85</v>
      </c>
      <c r="O69" s="25">
        <v>392</v>
      </c>
      <c r="P69" s="25">
        <v>89.31</v>
      </c>
      <c r="Q69" s="27">
        <v>44893</v>
      </c>
      <c r="R69" s="23">
        <v>4104030370</v>
      </c>
      <c r="S69" s="23">
        <v>450000</v>
      </c>
    </row>
    <row r="70" spans="1:19" x14ac:dyDescent="0.2">
      <c r="A70" s="16">
        <v>67</v>
      </c>
      <c r="B70" s="23" t="s">
        <v>207</v>
      </c>
      <c r="C70" s="23" t="s">
        <v>208</v>
      </c>
      <c r="D70" s="16">
        <v>92129</v>
      </c>
      <c r="E70" s="23" t="s">
        <v>112</v>
      </c>
      <c r="F70" s="23" t="s">
        <v>31</v>
      </c>
      <c r="G70" s="16" t="s">
        <v>26</v>
      </c>
      <c r="H70" s="24">
        <v>37861</v>
      </c>
      <c r="I70" s="23" t="s">
        <v>32</v>
      </c>
      <c r="J70" s="16" t="s">
        <v>210</v>
      </c>
      <c r="K70" s="25">
        <f>96.07+98.93+93.5</f>
        <v>288.5</v>
      </c>
      <c r="L70" s="26">
        <f>K70/300*100</f>
        <v>96.166666666666671</v>
      </c>
      <c r="M70" s="25">
        <v>97.06</v>
      </c>
      <c r="N70" s="25">
        <f>M70/100*100</f>
        <v>97.06</v>
      </c>
      <c r="O70" s="25">
        <v>489</v>
      </c>
      <c r="P70" s="25">
        <v>94.73</v>
      </c>
      <c r="Q70" s="27">
        <v>44895</v>
      </c>
      <c r="R70" s="23">
        <v>4129030219</v>
      </c>
      <c r="S70" s="23">
        <v>450000</v>
      </c>
    </row>
    <row r="71" spans="1:19" x14ac:dyDescent="0.2">
      <c r="A71" s="16">
        <v>68</v>
      </c>
      <c r="B71" s="23" t="s">
        <v>207</v>
      </c>
      <c r="C71" s="23" t="s">
        <v>208</v>
      </c>
      <c r="D71" s="16">
        <v>309018</v>
      </c>
      <c r="E71" s="23" t="s">
        <v>284</v>
      </c>
      <c r="F71" s="23" t="s">
        <v>25</v>
      </c>
      <c r="G71" s="16" t="s">
        <v>26</v>
      </c>
      <c r="H71" s="24">
        <v>38490</v>
      </c>
      <c r="I71" s="23" t="s">
        <v>212</v>
      </c>
      <c r="J71" s="16" t="s">
        <v>214</v>
      </c>
      <c r="K71" s="25">
        <f>93+87+85</f>
        <v>265</v>
      </c>
      <c r="L71" s="26">
        <f>K71/300*100</f>
        <v>88.333333333333329</v>
      </c>
      <c r="M71" s="25">
        <v>75</v>
      </c>
      <c r="N71" s="25">
        <f>M71/100*100</f>
        <v>75</v>
      </c>
      <c r="O71" s="25">
        <v>307</v>
      </c>
      <c r="P71" s="25">
        <v>82.4</v>
      </c>
      <c r="Q71" s="27">
        <v>44868</v>
      </c>
      <c r="R71" s="23">
        <v>4108040517</v>
      </c>
      <c r="S71" s="23"/>
    </row>
    <row r="72" spans="1:19" x14ac:dyDescent="0.2">
      <c r="A72" s="16">
        <v>69</v>
      </c>
      <c r="B72" s="23" t="s">
        <v>207</v>
      </c>
      <c r="C72" s="23" t="s">
        <v>208</v>
      </c>
      <c r="D72" s="16">
        <v>207835</v>
      </c>
      <c r="E72" s="23" t="s">
        <v>285</v>
      </c>
      <c r="F72" s="23" t="s">
        <v>31</v>
      </c>
      <c r="G72" s="16" t="s">
        <v>26</v>
      </c>
      <c r="H72" s="24">
        <v>36958</v>
      </c>
      <c r="I72" s="23" t="s">
        <v>32</v>
      </c>
      <c r="J72" s="16" t="s">
        <v>44</v>
      </c>
      <c r="K72" s="25">
        <f>160+151+120</f>
        <v>431</v>
      </c>
      <c r="L72" s="26">
        <f>K72/600*100</f>
        <v>71.833333333333343</v>
      </c>
      <c r="M72" s="25">
        <v>176</v>
      </c>
      <c r="N72" s="25">
        <f>M72/200*100</f>
        <v>88</v>
      </c>
      <c r="O72" s="25">
        <v>376</v>
      </c>
      <c r="P72" s="25">
        <v>88.2</v>
      </c>
      <c r="Q72" s="27">
        <v>44868</v>
      </c>
      <c r="R72" s="23">
        <v>4118020327</v>
      </c>
      <c r="S72" s="23">
        <v>450000</v>
      </c>
    </row>
    <row r="73" spans="1:19" x14ac:dyDescent="0.2">
      <c r="A73" s="16">
        <v>70</v>
      </c>
      <c r="B73" s="23" t="s">
        <v>207</v>
      </c>
      <c r="C73" s="23" t="s">
        <v>208</v>
      </c>
      <c r="D73" s="16">
        <v>760821</v>
      </c>
      <c r="E73" s="23" t="s">
        <v>286</v>
      </c>
      <c r="F73" s="23" t="s">
        <v>31</v>
      </c>
      <c r="G73" s="16" t="s">
        <v>26</v>
      </c>
      <c r="H73" s="24">
        <v>38379</v>
      </c>
      <c r="I73" s="23" t="s">
        <v>212</v>
      </c>
      <c r="J73" s="16" t="s">
        <v>210</v>
      </c>
      <c r="K73" s="25">
        <f>73+65+78</f>
        <v>216</v>
      </c>
      <c r="L73" s="26">
        <f t="shared" ref="L73:L109" si="7">K73/300*100</f>
        <v>72</v>
      </c>
      <c r="M73" s="25">
        <v>87</v>
      </c>
      <c r="N73" s="25">
        <f t="shared" ref="N73:N109" si="8">M73/100*100</f>
        <v>87</v>
      </c>
      <c r="O73" s="25">
        <v>139</v>
      </c>
      <c r="P73" s="25">
        <v>56.68</v>
      </c>
      <c r="Q73" s="27">
        <v>44893</v>
      </c>
      <c r="R73" s="23">
        <v>4101160528</v>
      </c>
      <c r="S73" s="23"/>
    </row>
    <row r="74" spans="1:19" x14ac:dyDescent="0.2">
      <c r="A74" s="16">
        <v>71</v>
      </c>
      <c r="B74" s="23" t="s">
        <v>207</v>
      </c>
      <c r="C74" s="23" t="s">
        <v>208</v>
      </c>
      <c r="D74" s="16">
        <v>922250</v>
      </c>
      <c r="E74" s="23" t="s">
        <v>287</v>
      </c>
      <c r="F74" s="23" t="s">
        <v>31</v>
      </c>
      <c r="G74" s="16" t="s">
        <v>26</v>
      </c>
      <c r="H74" s="24">
        <v>38367</v>
      </c>
      <c r="I74" s="23" t="s">
        <v>212</v>
      </c>
      <c r="J74" s="16" t="s">
        <v>210</v>
      </c>
      <c r="K74" s="25">
        <f>67+64+68</f>
        <v>199</v>
      </c>
      <c r="L74" s="26">
        <f t="shared" si="7"/>
        <v>66.333333333333329</v>
      </c>
      <c r="M74" s="25">
        <v>86</v>
      </c>
      <c r="N74" s="25">
        <f t="shared" si="8"/>
        <v>86</v>
      </c>
      <c r="O74" s="25">
        <v>110</v>
      </c>
      <c r="P74" s="25">
        <v>47.33</v>
      </c>
      <c r="Q74" s="27">
        <v>44893</v>
      </c>
      <c r="R74" s="23">
        <v>4116020548</v>
      </c>
      <c r="S74" s="23"/>
    </row>
    <row r="75" spans="1:19" x14ac:dyDescent="0.2">
      <c r="A75" s="16">
        <v>72</v>
      </c>
      <c r="B75" s="23" t="s">
        <v>207</v>
      </c>
      <c r="C75" s="23" t="s">
        <v>208</v>
      </c>
      <c r="D75" s="16">
        <v>244210</v>
      </c>
      <c r="E75" s="23" t="s">
        <v>288</v>
      </c>
      <c r="F75" s="23" t="s">
        <v>25</v>
      </c>
      <c r="G75" s="16" t="s">
        <v>26</v>
      </c>
      <c r="H75" s="24">
        <v>38304</v>
      </c>
      <c r="I75" s="23" t="s">
        <v>212</v>
      </c>
      <c r="J75" s="16" t="s">
        <v>210</v>
      </c>
      <c r="K75" s="25">
        <f>95+94+89</f>
        <v>278</v>
      </c>
      <c r="L75" s="26">
        <f t="shared" si="7"/>
        <v>92.666666666666657</v>
      </c>
      <c r="M75" s="25">
        <v>96</v>
      </c>
      <c r="N75" s="25">
        <f t="shared" si="8"/>
        <v>96</v>
      </c>
      <c r="O75" s="25">
        <v>349</v>
      </c>
      <c r="P75" s="25">
        <v>86.14</v>
      </c>
      <c r="Q75" s="27">
        <v>44892</v>
      </c>
      <c r="R75" s="23">
        <v>4114050432</v>
      </c>
      <c r="S75" s="23"/>
    </row>
    <row r="76" spans="1:19" x14ac:dyDescent="0.2">
      <c r="A76" s="16">
        <v>73</v>
      </c>
      <c r="B76" s="23" t="s">
        <v>207</v>
      </c>
      <c r="C76" s="23" t="s">
        <v>208</v>
      </c>
      <c r="D76" s="16">
        <v>197449</v>
      </c>
      <c r="E76" s="23" t="s">
        <v>289</v>
      </c>
      <c r="F76" s="23" t="s">
        <v>25</v>
      </c>
      <c r="G76" s="16" t="s">
        <v>26</v>
      </c>
      <c r="H76" s="24">
        <v>37211</v>
      </c>
      <c r="I76" s="23" t="s">
        <v>32</v>
      </c>
      <c r="J76" s="16" t="s">
        <v>44</v>
      </c>
      <c r="K76" s="25">
        <f>62+71+63</f>
        <v>196</v>
      </c>
      <c r="L76" s="26">
        <f t="shared" si="7"/>
        <v>65.333333333333329</v>
      </c>
      <c r="M76" s="25">
        <v>65</v>
      </c>
      <c r="N76" s="25">
        <f t="shared" si="8"/>
        <v>65</v>
      </c>
      <c r="O76" s="25">
        <v>384</v>
      </c>
      <c r="P76" s="25">
        <v>88.76</v>
      </c>
      <c r="Q76" s="27">
        <v>44893</v>
      </c>
      <c r="R76" s="23">
        <v>3701030073</v>
      </c>
      <c r="S76" s="23">
        <v>450000</v>
      </c>
    </row>
    <row r="77" spans="1:19" x14ac:dyDescent="0.2">
      <c r="A77" s="16">
        <v>74</v>
      </c>
      <c r="B77" s="23" t="s">
        <v>207</v>
      </c>
      <c r="C77" s="23" t="s">
        <v>208</v>
      </c>
      <c r="D77" s="16">
        <v>538737</v>
      </c>
      <c r="E77" s="23" t="s">
        <v>290</v>
      </c>
      <c r="F77" s="23" t="s">
        <v>25</v>
      </c>
      <c r="G77" s="16" t="s">
        <v>26</v>
      </c>
      <c r="H77" s="24">
        <v>38414</v>
      </c>
      <c r="I77" s="23" t="s">
        <v>212</v>
      </c>
      <c r="J77" s="16" t="s">
        <v>222</v>
      </c>
      <c r="K77" s="30">
        <f>66+74+83</f>
        <v>223</v>
      </c>
      <c r="L77" s="31">
        <f t="shared" si="7"/>
        <v>74.333333333333329</v>
      </c>
      <c r="M77" s="30">
        <v>81</v>
      </c>
      <c r="N77" s="30">
        <f t="shared" si="8"/>
        <v>81</v>
      </c>
      <c r="O77" s="30">
        <v>201</v>
      </c>
      <c r="P77" s="30">
        <v>69.34</v>
      </c>
      <c r="Q77" s="27" t="s">
        <v>258</v>
      </c>
      <c r="R77" s="23">
        <v>4101140606</v>
      </c>
      <c r="S77" s="23"/>
    </row>
    <row r="78" spans="1:19" x14ac:dyDescent="0.2">
      <c r="A78" s="16">
        <v>75</v>
      </c>
      <c r="B78" s="23" t="s">
        <v>207</v>
      </c>
      <c r="C78" s="23" t="s">
        <v>208</v>
      </c>
      <c r="D78" s="16">
        <v>85323</v>
      </c>
      <c r="E78" s="23" t="s">
        <v>291</v>
      </c>
      <c r="F78" s="23" t="s">
        <v>25</v>
      </c>
      <c r="G78" s="16" t="s">
        <v>26</v>
      </c>
      <c r="H78" s="24">
        <v>37897</v>
      </c>
      <c r="I78" s="23" t="s">
        <v>32</v>
      </c>
      <c r="J78" s="16" t="s">
        <v>210</v>
      </c>
      <c r="K78" s="25">
        <f>97+96+98</f>
        <v>291</v>
      </c>
      <c r="L78" s="26">
        <f t="shared" si="7"/>
        <v>97</v>
      </c>
      <c r="M78" s="25">
        <v>97</v>
      </c>
      <c r="N78" s="25">
        <f t="shared" si="8"/>
        <v>97</v>
      </c>
      <c r="O78" s="25">
        <v>498</v>
      </c>
      <c r="P78" s="23">
        <v>95.14</v>
      </c>
      <c r="Q78" s="27">
        <v>44894</v>
      </c>
      <c r="R78" s="23">
        <v>4101190360</v>
      </c>
      <c r="S78" s="23">
        <v>450000</v>
      </c>
    </row>
    <row r="79" spans="1:19" x14ac:dyDescent="0.2">
      <c r="A79" s="16">
        <v>76</v>
      </c>
      <c r="B79" s="23" t="s">
        <v>207</v>
      </c>
      <c r="C79" s="23" t="s">
        <v>208</v>
      </c>
      <c r="D79" s="16">
        <v>101135</v>
      </c>
      <c r="E79" s="23" t="s">
        <v>292</v>
      </c>
      <c r="F79" s="23" t="s">
        <v>31</v>
      </c>
      <c r="G79" s="16" t="s">
        <v>26</v>
      </c>
      <c r="H79" s="24">
        <v>37921</v>
      </c>
      <c r="I79" s="23" t="s">
        <v>32</v>
      </c>
      <c r="J79" s="16" t="s">
        <v>214</v>
      </c>
      <c r="K79" s="25">
        <f>92.03+91.46+91.46</f>
        <v>274.95</v>
      </c>
      <c r="L79" s="26">
        <v>91.33</v>
      </c>
      <c r="M79" s="25">
        <v>92.06</v>
      </c>
      <c r="N79" s="25">
        <f t="shared" si="8"/>
        <v>92.06</v>
      </c>
      <c r="O79" s="25">
        <v>478</v>
      </c>
      <c r="P79" s="25">
        <v>94.22</v>
      </c>
      <c r="Q79" s="27">
        <v>44868</v>
      </c>
      <c r="R79" s="23">
        <v>4117030130</v>
      </c>
      <c r="S79" s="23">
        <v>450000</v>
      </c>
    </row>
    <row r="80" spans="1:19" x14ac:dyDescent="0.2">
      <c r="A80" s="16">
        <v>77</v>
      </c>
      <c r="B80" s="23" t="s">
        <v>207</v>
      </c>
      <c r="C80" s="23" t="s">
        <v>208</v>
      </c>
      <c r="D80" s="16">
        <v>102180</v>
      </c>
      <c r="E80" s="23" t="s">
        <v>293</v>
      </c>
      <c r="F80" s="23" t="s">
        <v>31</v>
      </c>
      <c r="G80" s="16" t="s">
        <v>26</v>
      </c>
      <c r="H80" s="24">
        <v>37644</v>
      </c>
      <c r="I80" s="23" t="s">
        <v>32</v>
      </c>
      <c r="J80" s="16" t="s">
        <v>214</v>
      </c>
      <c r="K80" s="25">
        <f>74+91+84</f>
        <v>249</v>
      </c>
      <c r="L80" s="26">
        <f t="shared" si="7"/>
        <v>83</v>
      </c>
      <c r="M80" s="25">
        <v>96</v>
      </c>
      <c r="N80" s="25">
        <f t="shared" si="8"/>
        <v>96</v>
      </c>
      <c r="O80" s="25">
        <v>477</v>
      </c>
      <c r="P80" s="25">
        <v>94.17</v>
      </c>
      <c r="Q80" s="27">
        <v>44894</v>
      </c>
      <c r="R80" s="23">
        <v>4114040074</v>
      </c>
      <c r="S80" s="23">
        <v>450000</v>
      </c>
    </row>
    <row r="81" spans="1:19" x14ac:dyDescent="0.2">
      <c r="A81" s="16">
        <v>78</v>
      </c>
      <c r="B81" s="23" t="s">
        <v>207</v>
      </c>
      <c r="C81" s="23" t="s">
        <v>208</v>
      </c>
      <c r="D81" s="16">
        <v>206616</v>
      </c>
      <c r="E81" s="23" t="s">
        <v>294</v>
      </c>
      <c r="F81" s="23" t="s">
        <v>31</v>
      </c>
      <c r="G81" s="16" t="s">
        <v>26</v>
      </c>
      <c r="H81" s="24">
        <v>37979</v>
      </c>
      <c r="I81" s="23" t="s">
        <v>32</v>
      </c>
      <c r="J81" s="16" t="s">
        <v>44</v>
      </c>
      <c r="K81" s="25">
        <f>94+94+95</f>
        <v>283</v>
      </c>
      <c r="L81" s="26">
        <f t="shared" si="7"/>
        <v>94.333333333333343</v>
      </c>
      <c r="M81" s="25">
        <v>95</v>
      </c>
      <c r="N81" s="25">
        <f t="shared" si="8"/>
        <v>95</v>
      </c>
      <c r="O81" s="25">
        <v>377</v>
      </c>
      <c r="P81" s="25">
        <v>88.27</v>
      </c>
      <c r="Q81" s="27">
        <v>44867</v>
      </c>
      <c r="R81" s="23">
        <v>4101090642</v>
      </c>
      <c r="S81" s="23">
        <v>450000</v>
      </c>
    </row>
    <row r="82" spans="1:19" x14ac:dyDescent="0.2">
      <c r="A82" s="16">
        <v>79</v>
      </c>
      <c r="B82" s="23" t="s">
        <v>207</v>
      </c>
      <c r="C82" s="23" t="s">
        <v>208</v>
      </c>
      <c r="D82" s="16">
        <v>97067</v>
      </c>
      <c r="E82" s="23" t="s">
        <v>295</v>
      </c>
      <c r="F82" s="23" t="s">
        <v>31</v>
      </c>
      <c r="G82" s="16" t="s">
        <v>26</v>
      </c>
      <c r="H82" s="24">
        <v>37312</v>
      </c>
      <c r="I82" s="23" t="s">
        <v>32</v>
      </c>
      <c r="J82" s="16" t="s">
        <v>214</v>
      </c>
      <c r="K82" s="25">
        <f>78+72+72</f>
        <v>222</v>
      </c>
      <c r="L82" s="26">
        <f t="shared" si="7"/>
        <v>74</v>
      </c>
      <c r="M82" s="25">
        <v>88</v>
      </c>
      <c r="N82" s="25">
        <f t="shared" si="8"/>
        <v>88</v>
      </c>
      <c r="O82" s="25">
        <v>483</v>
      </c>
      <c r="P82" s="25">
        <v>94.46</v>
      </c>
      <c r="Q82" s="27">
        <v>44894</v>
      </c>
      <c r="R82" s="23">
        <v>4112040689</v>
      </c>
      <c r="S82" s="23">
        <v>450000</v>
      </c>
    </row>
    <row r="83" spans="1:19" x14ac:dyDescent="0.2">
      <c r="A83" s="16">
        <v>80</v>
      </c>
      <c r="B83" s="23" t="s">
        <v>207</v>
      </c>
      <c r="C83" s="23" t="s">
        <v>208</v>
      </c>
      <c r="D83" s="16">
        <v>162396</v>
      </c>
      <c r="E83" s="23" t="s">
        <v>296</v>
      </c>
      <c r="F83" s="23" t="s">
        <v>25</v>
      </c>
      <c r="G83" s="16" t="s">
        <v>26</v>
      </c>
      <c r="H83" s="24">
        <v>37104</v>
      </c>
      <c r="I83" s="23" t="s">
        <v>212</v>
      </c>
      <c r="J83" s="16" t="s">
        <v>210</v>
      </c>
      <c r="K83" s="30">
        <f>84+83+84</f>
        <v>251</v>
      </c>
      <c r="L83" s="31">
        <f t="shared" si="7"/>
        <v>83.666666666666671</v>
      </c>
      <c r="M83" s="30">
        <v>83</v>
      </c>
      <c r="N83" s="30">
        <f t="shared" si="8"/>
        <v>83</v>
      </c>
      <c r="O83" s="30">
        <v>414</v>
      </c>
      <c r="P83" s="30">
        <v>90.74</v>
      </c>
      <c r="Q83" s="27">
        <v>44867</v>
      </c>
      <c r="R83" s="23">
        <v>4115010308</v>
      </c>
      <c r="S83" s="23"/>
    </row>
    <row r="84" spans="1:19" x14ac:dyDescent="0.2">
      <c r="A84" s="16">
        <v>81</v>
      </c>
      <c r="B84" s="23" t="s">
        <v>207</v>
      </c>
      <c r="C84" s="23" t="s">
        <v>208</v>
      </c>
      <c r="D84" s="16">
        <v>122919</v>
      </c>
      <c r="E84" s="23" t="s">
        <v>297</v>
      </c>
      <c r="F84" s="23" t="s">
        <v>25</v>
      </c>
      <c r="G84" s="16" t="s">
        <v>26</v>
      </c>
      <c r="H84" s="24">
        <v>38007</v>
      </c>
      <c r="I84" s="23" t="s">
        <v>212</v>
      </c>
      <c r="J84" s="16" t="s">
        <v>210</v>
      </c>
      <c r="K84" s="25">
        <f>75+89+95</f>
        <v>259</v>
      </c>
      <c r="L84" s="26">
        <f t="shared" si="7"/>
        <v>86.333333333333329</v>
      </c>
      <c r="M84" s="25">
        <v>85</v>
      </c>
      <c r="N84" s="25">
        <f t="shared" si="8"/>
        <v>85</v>
      </c>
      <c r="O84" s="25">
        <v>454</v>
      </c>
      <c r="P84" s="25">
        <v>93.03</v>
      </c>
      <c r="Q84" s="27">
        <v>44868</v>
      </c>
      <c r="R84" s="23">
        <v>4113040168</v>
      </c>
      <c r="S84" s="23"/>
    </row>
    <row r="85" spans="1:19" x14ac:dyDescent="0.2">
      <c r="A85" s="16">
        <v>82</v>
      </c>
      <c r="B85" s="23" t="s">
        <v>207</v>
      </c>
      <c r="C85" s="23" t="s">
        <v>208</v>
      </c>
      <c r="D85" s="16">
        <v>79654</v>
      </c>
      <c r="E85" s="23" t="s">
        <v>298</v>
      </c>
      <c r="F85" s="23" t="s">
        <v>31</v>
      </c>
      <c r="G85" s="16" t="s">
        <v>26</v>
      </c>
      <c r="H85" s="24">
        <v>38135</v>
      </c>
      <c r="I85" s="23" t="s">
        <v>32</v>
      </c>
      <c r="J85" s="16" t="s">
        <v>210</v>
      </c>
      <c r="K85" s="25">
        <f>97.41+98.27+96.55</f>
        <v>292.23</v>
      </c>
      <c r="L85" s="26">
        <f t="shared" si="7"/>
        <v>97.410000000000011</v>
      </c>
      <c r="M85" s="25">
        <v>95.73</v>
      </c>
      <c r="N85" s="25">
        <f t="shared" si="8"/>
        <v>95.73</v>
      </c>
      <c r="O85" s="25">
        <v>505</v>
      </c>
      <c r="P85" s="25">
        <v>95.44</v>
      </c>
      <c r="Q85" s="27">
        <v>44867</v>
      </c>
      <c r="R85" s="23">
        <v>3701020293</v>
      </c>
      <c r="S85" s="23">
        <v>450000</v>
      </c>
    </row>
    <row r="86" spans="1:19" x14ac:dyDescent="0.2">
      <c r="A86" s="16">
        <v>83</v>
      </c>
      <c r="B86" s="23" t="s">
        <v>207</v>
      </c>
      <c r="C86" s="23" t="s">
        <v>208</v>
      </c>
      <c r="D86" s="16">
        <v>470691</v>
      </c>
      <c r="E86" s="23" t="s">
        <v>299</v>
      </c>
      <c r="F86" s="23" t="s">
        <v>25</v>
      </c>
      <c r="G86" s="16" t="s">
        <v>26</v>
      </c>
      <c r="H86" s="24">
        <v>38054</v>
      </c>
      <c r="I86" s="23" t="s">
        <v>212</v>
      </c>
      <c r="J86" s="16" t="s">
        <v>222</v>
      </c>
      <c r="K86" s="30">
        <f>91.43+96+93.14</f>
        <v>280.57</v>
      </c>
      <c r="L86" s="31">
        <f t="shared" si="7"/>
        <v>93.523333333333341</v>
      </c>
      <c r="M86" s="30">
        <v>95.11</v>
      </c>
      <c r="N86" s="30">
        <f t="shared" si="8"/>
        <v>95.11</v>
      </c>
      <c r="O86" s="30">
        <v>227</v>
      </c>
      <c r="P86" s="30">
        <v>73.2</v>
      </c>
      <c r="Q86" s="27">
        <v>44865</v>
      </c>
      <c r="R86" s="23">
        <v>4120020097</v>
      </c>
      <c r="S86" s="23"/>
    </row>
    <row r="87" spans="1:19" x14ac:dyDescent="0.2">
      <c r="A87" s="16">
        <v>84</v>
      </c>
      <c r="B87" s="23" t="s">
        <v>207</v>
      </c>
      <c r="C87" s="23" t="s">
        <v>208</v>
      </c>
      <c r="D87" s="16">
        <v>266723</v>
      </c>
      <c r="E87" s="23" t="s">
        <v>300</v>
      </c>
      <c r="F87" s="23" t="s">
        <v>31</v>
      </c>
      <c r="G87" s="16" t="s">
        <v>26</v>
      </c>
      <c r="H87" s="24">
        <v>37827</v>
      </c>
      <c r="I87" s="23" t="s">
        <v>212</v>
      </c>
      <c r="J87" s="16" t="s">
        <v>210</v>
      </c>
      <c r="K87" s="25">
        <f>72+81+81</f>
        <v>234</v>
      </c>
      <c r="L87" s="31">
        <f t="shared" si="7"/>
        <v>78</v>
      </c>
      <c r="M87" s="25">
        <v>91</v>
      </c>
      <c r="N87" s="25">
        <f t="shared" si="8"/>
        <v>91</v>
      </c>
      <c r="O87" s="25">
        <v>334</v>
      </c>
      <c r="P87" s="25">
        <v>84.87</v>
      </c>
      <c r="Q87" s="27">
        <v>44921</v>
      </c>
      <c r="R87" s="23">
        <v>4129020372</v>
      </c>
      <c r="S87" s="23"/>
    </row>
    <row r="88" spans="1:19" x14ac:dyDescent="0.2">
      <c r="A88" s="16">
        <v>85</v>
      </c>
      <c r="B88" s="23" t="s">
        <v>207</v>
      </c>
      <c r="C88" s="23" t="s">
        <v>208</v>
      </c>
      <c r="D88" s="16">
        <v>353457</v>
      </c>
      <c r="E88" s="23" t="s">
        <v>301</v>
      </c>
      <c r="F88" s="23" t="s">
        <v>31</v>
      </c>
      <c r="G88" s="16" t="s">
        <v>26</v>
      </c>
      <c r="H88" s="24">
        <v>37911</v>
      </c>
      <c r="I88" s="23" t="s">
        <v>269</v>
      </c>
      <c r="J88" s="16" t="s">
        <v>214</v>
      </c>
      <c r="K88" s="25">
        <f>82.05+88.63+86.63</f>
        <v>257.31</v>
      </c>
      <c r="L88" s="26">
        <f t="shared" si="7"/>
        <v>85.77</v>
      </c>
      <c r="M88" s="25">
        <v>87.9</v>
      </c>
      <c r="N88" s="25">
        <f t="shared" si="8"/>
        <v>87.9</v>
      </c>
      <c r="O88" s="25">
        <v>282</v>
      </c>
      <c r="P88" s="25">
        <v>79.86</v>
      </c>
      <c r="Q88" s="27">
        <v>44862</v>
      </c>
      <c r="R88" s="23">
        <v>4103070226</v>
      </c>
      <c r="S88" s="23">
        <v>450000</v>
      </c>
    </row>
    <row r="89" spans="1:19" x14ac:dyDescent="0.2">
      <c r="A89" s="16">
        <v>86</v>
      </c>
      <c r="B89" s="23" t="s">
        <v>207</v>
      </c>
      <c r="C89" s="23" t="s">
        <v>208</v>
      </c>
      <c r="D89" s="16">
        <v>361079</v>
      </c>
      <c r="E89" s="23" t="s">
        <v>302</v>
      </c>
      <c r="F89" s="23" t="s">
        <v>31</v>
      </c>
      <c r="G89" s="16" t="s">
        <v>26</v>
      </c>
      <c r="H89" s="24">
        <v>37755</v>
      </c>
      <c r="I89" s="23" t="s">
        <v>212</v>
      </c>
      <c r="J89" s="16" t="s">
        <v>222</v>
      </c>
      <c r="K89" s="30">
        <f>78+65+66</f>
        <v>209</v>
      </c>
      <c r="L89" s="31">
        <f t="shared" si="7"/>
        <v>69.666666666666671</v>
      </c>
      <c r="M89" s="30">
        <v>95</v>
      </c>
      <c r="N89" s="30">
        <f t="shared" si="8"/>
        <v>95</v>
      </c>
      <c r="O89" s="30">
        <v>278</v>
      </c>
      <c r="P89" s="30">
        <v>79.430000000000007</v>
      </c>
      <c r="Q89" s="27">
        <v>44866</v>
      </c>
      <c r="R89" s="23">
        <v>4107030489</v>
      </c>
      <c r="S89" s="23"/>
    </row>
    <row r="90" spans="1:19" x14ac:dyDescent="0.2">
      <c r="A90" s="16">
        <v>87</v>
      </c>
      <c r="B90" s="23" t="s">
        <v>207</v>
      </c>
      <c r="C90" s="23" t="s">
        <v>208</v>
      </c>
      <c r="D90" s="16">
        <v>539987</v>
      </c>
      <c r="E90" s="23" t="s">
        <v>303</v>
      </c>
      <c r="F90" s="23" t="s">
        <v>25</v>
      </c>
      <c r="G90" s="16" t="s">
        <v>26</v>
      </c>
      <c r="H90" s="24">
        <v>37919</v>
      </c>
      <c r="I90" s="23" t="s">
        <v>212</v>
      </c>
      <c r="J90" s="16" t="s">
        <v>210</v>
      </c>
      <c r="K90" s="25">
        <f>82+82+82</f>
        <v>246</v>
      </c>
      <c r="L90" s="26">
        <f t="shared" si="7"/>
        <v>82</v>
      </c>
      <c r="M90" s="25">
        <v>95</v>
      </c>
      <c r="N90" s="25">
        <f t="shared" si="8"/>
        <v>95</v>
      </c>
      <c r="O90" s="25">
        <v>201</v>
      </c>
      <c r="P90" s="25">
        <v>69.34</v>
      </c>
      <c r="Q90" s="27">
        <v>44868</v>
      </c>
      <c r="R90" s="32">
        <v>9911010161</v>
      </c>
      <c r="S90" s="23"/>
    </row>
    <row r="91" spans="1:19" x14ac:dyDescent="0.2">
      <c r="A91" s="16">
        <v>88</v>
      </c>
      <c r="B91" s="23" t="s">
        <v>207</v>
      </c>
      <c r="C91" s="23" t="s">
        <v>208</v>
      </c>
      <c r="D91" s="16">
        <v>331782</v>
      </c>
      <c r="E91" s="23" t="s">
        <v>304</v>
      </c>
      <c r="F91" s="23" t="s">
        <v>31</v>
      </c>
      <c r="G91" s="16" t="s">
        <v>26</v>
      </c>
      <c r="H91" s="24">
        <v>37809</v>
      </c>
      <c r="I91" s="23" t="s">
        <v>212</v>
      </c>
      <c r="J91" s="16" t="s">
        <v>210</v>
      </c>
      <c r="K91" s="30">
        <f>86+73+76</f>
        <v>235</v>
      </c>
      <c r="L91" s="31">
        <f t="shared" si="7"/>
        <v>78.333333333333329</v>
      </c>
      <c r="M91" s="30">
        <v>76</v>
      </c>
      <c r="N91" s="30">
        <f t="shared" si="8"/>
        <v>76</v>
      </c>
      <c r="O91" s="30">
        <v>294</v>
      </c>
      <c r="P91" s="30">
        <v>81.11</v>
      </c>
      <c r="Q91" s="27">
        <v>44868</v>
      </c>
      <c r="R91" s="23">
        <v>4122010648</v>
      </c>
      <c r="S91" s="23"/>
    </row>
    <row r="92" spans="1:19" x14ac:dyDescent="0.2">
      <c r="A92" s="16">
        <v>89</v>
      </c>
      <c r="B92" s="23" t="s">
        <v>207</v>
      </c>
      <c r="C92" s="23" t="s">
        <v>208</v>
      </c>
      <c r="D92" s="16">
        <v>107626</v>
      </c>
      <c r="E92" s="23" t="s">
        <v>305</v>
      </c>
      <c r="F92" s="23" t="s">
        <v>25</v>
      </c>
      <c r="G92" s="16" t="s">
        <v>26</v>
      </c>
      <c r="H92" s="24">
        <v>37533</v>
      </c>
      <c r="I92" s="23" t="s">
        <v>32</v>
      </c>
      <c r="J92" s="16" t="s">
        <v>214</v>
      </c>
      <c r="K92" s="25">
        <f>81+71+89</f>
        <v>241</v>
      </c>
      <c r="L92" s="26">
        <f t="shared" si="7"/>
        <v>80.333333333333329</v>
      </c>
      <c r="M92" s="25">
        <v>88</v>
      </c>
      <c r="N92" s="25">
        <f t="shared" si="8"/>
        <v>88</v>
      </c>
      <c r="O92" s="25">
        <v>471</v>
      </c>
      <c r="P92" s="25">
        <v>93.88</v>
      </c>
      <c r="Q92" s="27">
        <v>44894</v>
      </c>
      <c r="R92" s="23">
        <v>4109020592</v>
      </c>
      <c r="S92" s="23">
        <v>450000</v>
      </c>
    </row>
    <row r="93" spans="1:19" x14ac:dyDescent="0.2">
      <c r="A93" s="16">
        <v>90</v>
      </c>
      <c r="B93" s="23" t="s">
        <v>207</v>
      </c>
      <c r="C93" s="23" t="s">
        <v>208</v>
      </c>
      <c r="D93" s="16">
        <v>82744</v>
      </c>
      <c r="E93" s="23" t="s">
        <v>306</v>
      </c>
      <c r="F93" s="23" t="s">
        <v>25</v>
      </c>
      <c r="G93" s="16" t="s">
        <v>26</v>
      </c>
      <c r="H93" s="24">
        <v>37166</v>
      </c>
      <c r="I93" s="23" t="s">
        <v>32</v>
      </c>
      <c r="J93" s="16" t="s">
        <v>210</v>
      </c>
      <c r="K93" s="25">
        <f>83+83+95</f>
        <v>261</v>
      </c>
      <c r="L93" s="26">
        <f t="shared" si="7"/>
        <v>87</v>
      </c>
      <c r="M93" s="25">
        <v>93</v>
      </c>
      <c r="N93" s="25">
        <f t="shared" si="8"/>
        <v>93</v>
      </c>
      <c r="O93" s="25">
        <v>501</v>
      </c>
      <c r="P93" s="23">
        <v>95.27</v>
      </c>
      <c r="Q93" s="27">
        <v>44893</v>
      </c>
      <c r="R93" s="23">
        <v>4106020579</v>
      </c>
      <c r="S93" s="23">
        <v>450000</v>
      </c>
    </row>
    <row r="94" spans="1:19" x14ac:dyDescent="0.2">
      <c r="A94" s="16">
        <v>91</v>
      </c>
      <c r="B94" s="23" t="s">
        <v>207</v>
      </c>
      <c r="C94" s="23" t="s">
        <v>208</v>
      </c>
      <c r="D94" s="16">
        <v>93184</v>
      </c>
      <c r="E94" s="23" t="s">
        <v>307</v>
      </c>
      <c r="F94" s="23" t="s">
        <v>25</v>
      </c>
      <c r="G94" s="16" t="s">
        <v>26</v>
      </c>
      <c r="H94" s="24">
        <v>37675</v>
      </c>
      <c r="I94" s="23" t="s">
        <v>32</v>
      </c>
      <c r="J94" s="16" t="s">
        <v>210</v>
      </c>
      <c r="K94" s="25">
        <f>69+81+86</f>
        <v>236</v>
      </c>
      <c r="L94" s="26">
        <f t="shared" si="7"/>
        <v>78.666666666666657</v>
      </c>
      <c r="M94" s="25">
        <v>89</v>
      </c>
      <c r="N94" s="25">
        <f t="shared" si="8"/>
        <v>89</v>
      </c>
      <c r="O94" s="25">
        <v>488</v>
      </c>
      <c r="P94" s="25">
        <v>94.69</v>
      </c>
      <c r="Q94" s="27">
        <v>44904</v>
      </c>
      <c r="R94" s="23">
        <v>4119020205</v>
      </c>
      <c r="S94" s="23">
        <v>450000</v>
      </c>
    </row>
    <row r="95" spans="1:19" x14ac:dyDescent="0.2">
      <c r="A95" s="16">
        <v>92</v>
      </c>
      <c r="B95" s="23" t="s">
        <v>207</v>
      </c>
      <c r="C95" s="23" t="s">
        <v>208</v>
      </c>
      <c r="D95" s="16">
        <v>228038</v>
      </c>
      <c r="E95" s="23" t="s">
        <v>308</v>
      </c>
      <c r="F95" s="23" t="s">
        <v>31</v>
      </c>
      <c r="G95" s="16" t="s">
        <v>26</v>
      </c>
      <c r="H95" s="24">
        <v>37502</v>
      </c>
      <c r="I95" s="23" t="s">
        <v>212</v>
      </c>
      <c r="J95" s="16" t="s">
        <v>214</v>
      </c>
      <c r="K95" s="30">
        <f>72+73+93</f>
        <v>238</v>
      </c>
      <c r="L95" s="31">
        <f t="shared" si="7"/>
        <v>79.333333333333329</v>
      </c>
      <c r="M95" s="30">
        <v>95</v>
      </c>
      <c r="N95" s="30">
        <f t="shared" si="8"/>
        <v>95</v>
      </c>
      <c r="O95" s="30">
        <v>360</v>
      </c>
      <c r="P95" s="30">
        <v>87</v>
      </c>
      <c r="Q95" s="27">
        <v>44869</v>
      </c>
      <c r="R95" s="23">
        <v>4114050487</v>
      </c>
      <c r="S95" s="23"/>
    </row>
    <row r="96" spans="1:19" x14ac:dyDescent="0.2">
      <c r="A96" s="16">
        <v>93</v>
      </c>
      <c r="B96" s="23" t="s">
        <v>207</v>
      </c>
      <c r="C96" s="23" t="s">
        <v>208</v>
      </c>
      <c r="D96" s="16">
        <v>584862</v>
      </c>
      <c r="E96" s="23" t="s">
        <v>309</v>
      </c>
      <c r="F96" s="23" t="s">
        <v>25</v>
      </c>
      <c r="G96" s="16" t="s">
        <v>26</v>
      </c>
      <c r="H96" s="24">
        <v>38448</v>
      </c>
      <c r="I96" s="23" t="s">
        <v>212</v>
      </c>
      <c r="J96" s="16" t="s">
        <v>210</v>
      </c>
      <c r="K96" s="25">
        <f>86+86+80</f>
        <v>252</v>
      </c>
      <c r="L96" s="26">
        <f t="shared" si="7"/>
        <v>84</v>
      </c>
      <c r="M96" s="25">
        <v>88</v>
      </c>
      <c r="N96" s="25">
        <f t="shared" si="8"/>
        <v>88</v>
      </c>
      <c r="O96" s="25">
        <v>186</v>
      </c>
      <c r="P96" s="25">
        <v>66.819999999999993</v>
      </c>
      <c r="Q96" s="27">
        <v>44893</v>
      </c>
      <c r="R96" s="23">
        <v>4112080144</v>
      </c>
      <c r="S96" s="23"/>
    </row>
    <row r="97" spans="1:20" x14ac:dyDescent="0.2">
      <c r="A97" s="16">
        <v>94</v>
      </c>
      <c r="B97" s="23" t="s">
        <v>207</v>
      </c>
      <c r="C97" s="23" t="s">
        <v>208</v>
      </c>
      <c r="D97" s="16">
        <v>363567</v>
      </c>
      <c r="E97" s="23" t="s">
        <v>310</v>
      </c>
      <c r="F97" s="23" t="s">
        <v>31</v>
      </c>
      <c r="G97" s="16" t="s">
        <v>26</v>
      </c>
      <c r="H97" s="24">
        <v>38218</v>
      </c>
      <c r="I97" s="23" t="s">
        <v>269</v>
      </c>
      <c r="J97" s="16" t="s">
        <v>210</v>
      </c>
      <c r="K97" s="25">
        <f>92.34+93.48+91.48</f>
        <v>277.3</v>
      </c>
      <c r="L97" s="26">
        <f t="shared" si="7"/>
        <v>92.433333333333337</v>
      </c>
      <c r="M97" s="25">
        <v>94.34</v>
      </c>
      <c r="N97" s="25">
        <f t="shared" si="8"/>
        <v>94.34</v>
      </c>
      <c r="O97" s="25">
        <v>277</v>
      </c>
      <c r="P97" s="25">
        <v>79.319999999999993</v>
      </c>
      <c r="Q97" s="27">
        <v>44862</v>
      </c>
      <c r="R97" s="23">
        <v>4124060232</v>
      </c>
      <c r="S97" s="23">
        <v>450000</v>
      </c>
    </row>
    <row r="98" spans="1:20" x14ac:dyDescent="0.2">
      <c r="A98" s="16">
        <v>95</v>
      </c>
      <c r="B98" s="23" t="s">
        <v>207</v>
      </c>
      <c r="C98" s="23" t="s">
        <v>208</v>
      </c>
      <c r="D98" s="16">
        <v>589920</v>
      </c>
      <c r="E98" s="23" t="s">
        <v>311</v>
      </c>
      <c r="F98" s="23" t="s">
        <v>31</v>
      </c>
      <c r="G98" s="16" t="s">
        <v>26</v>
      </c>
      <c r="H98" s="24">
        <v>38519</v>
      </c>
      <c r="I98" s="23" t="s">
        <v>212</v>
      </c>
      <c r="J98" s="16" t="s">
        <v>222</v>
      </c>
      <c r="K98" s="25">
        <f>77+68+86</f>
        <v>231</v>
      </c>
      <c r="L98" s="26">
        <f t="shared" si="7"/>
        <v>77</v>
      </c>
      <c r="M98" s="25">
        <v>92</v>
      </c>
      <c r="N98" s="25">
        <f t="shared" si="8"/>
        <v>92</v>
      </c>
      <c r="O98" s="25">
        <v>184</v>
      </c>
      <c r="P98" s="25">
        <v>66.45</v>
      </c>
      <c r="Q98" s="27">
        <v>44893</v>
      </c>
      <c r="R98" s="23">
        <v>4129030053</v>
      </c>
      <c r="S98" s="23"/>
    </row>
    <row r="99" spans="1:20" x14ac:dyDescent="0.2">
      <c r="A99" s="16">
        <v>96</v>
      </c>
      <c r="B99" s="23" t="s">
        <v>207</v>
      </c>
      <c r="C99" s="23" t="s">
        <v>208</v>
      </c>
      <c r="D99" s="16">
        <v>355443</v>
      </c>
      <c r="E99" s="23" t="s">
        <v>312</v>
      </c>
      <c r="F99" s="23" t="s">
        <v>31</v>
      </c>
      <c r="G99" s="16" t="s">
        <v>26</v>
      </c>
      <c r="H99" s="24">
        <v>37664</v>
      </c>
      <c r="I99" s="23" t="s">
        <v>269</v>
      </c>
      <c r="J99" s="16" t="s">
        <v>214</v>
      </c>
      <c r="K99" s="25">
        <f>88.48+88.2+81.63</f>
        <v>258.31</v>
      </c>
      <c r="L99" s="26">
        <f t="shared" si="7"/>
        <v>86.103333333333325</v>
      </c>
      <c r="M99" s="25">
        <v>90.45</v>
      </c>
      <c r="N99" s="25">
        <f t="shared" si="8"/>
        <v>90.45</v>
      </c>
      <c r="O99" s="25">
        <v>281</v>
      </c>
      <c r="P99" s="25">
        <v>79.760000000000005</v>
      </c>
      <c r="Q99" s="27">
        <v>44862</v>
      </c>
      <c r="R99" s="23">
        <v>4113060371</v>
      </c>
      <c r="S99" s="23">
        <v>450000</v>
      </c>
    </row>
    <row r="100" spans="1:20" x14ac:dyDescent="0.2">
      <c r="A100" s="16">
        <v>97</v>
      </c>
      <c r="B100" s="23" t="s">
        <v>207</v>
      </c>
      <c r="C100" s="23" t="s">
        <v>208</v>
      </c>
      <c r="D100" s="16">
        <v>91545</v>
      </c>
      <c r="E100" s="23" t="s">
        <v>313</v>
      </c>
      <c r="F100" s="23" t="s">
        <v>31</v>
      </c>
      <c r="G100" s="16" t="s">
        <v>26</v>
      </c>
      <c r="H100" s="24">
        <v>37571</v>
      </c>
      <c r="I100" s="23" t="s">
        <v>32</v>
      </c>
      <c r="J100" s="16" t="s">
        <v>217</v>
      </c>
      <c r="K100" s="25">
        <f>85+59+67</f>
        <v>211</v>
      </c>
      <c r="L100" s="26">
        <f t="shared" si="7"/>
        <v>70.333333333333343</v>
      </c>
      <c r="M100" s="25">
        <v>81</v>
      </c>
      <c r="N100" s="25">
        <f t="shared" si="8"/>
        <v>81</v>
      </c>
      <c r="O100" s="25">
        <v>490</v>
      </c>
      <c r="P100" s="25">
        <v>94.78</v>
      </c>
      <c r="Q100" s="27" t="s">
        <v>314</v>
      </c>
      <c r="R100" s="23">
        <v>4102080043</v>
      </c>
      <c r="S100" s="23">
        <v>450000</v>
      </c>
      <c r="T100" s="4" t="s">
        <v>315</v>
      </c>
    </row>
    <row r="101" spans="1:20" x14ac:dyDescent="0.2">
      <c r="A101" s="16">
        <v>98</v>
      </c>
      <c r="B101" s="23" t="s">
        <v>207</v>
      </c>
      <c r="C101" s="23" t="s">
        <v>208</v>
      </c>
      <c r="D101" s="16">
        <v>126797</v>
      </c>
      <c r="E101" s="23" t="s">
        <v>316</v>
      </c>
      <c r="F101" s="23" t="s">
        <v>31</v>
      </c>
      <c r="G101" s="16" t="s">
        <v>26</v>
      </c>
      <c r="H101" s="24">
        <v>37301</v>
      </c>
      <c r="I101" s="23" t="s">
        <v>212</v>
      </c>
      <c r="J101" s="16" t="s">
        <v>210</v>
      </c>
      <c r="K101" s="30">
        <f>61+65+75</f>
        <v>201</v>
      </c>
      <c r="L101" s="31">
        <f t="shared" si="7"/>
        <v>67</v>
      </c>
      <c r="M101" s="30">
        <v>79</v>
      </c>
      <c r="N101" s="30">
        <f t="shared" si="8"/>
        <v>79</v>
      </c>
      <c r="O101" s="30">
        <v>449</v>
      </c>
      <c r="P101" s="30">
        <v>92.76</v>
      </c>
      <c r="Q101" s="27">
        <v>44867</v>
      </c>
      <c r="R101" s="23">
        <v>4109080468</v>
      </c>
      <c r="S101" s="23"/>
    </row>
    <row r="102" spans="1:20" x14ac:dyDescent="0.2">
      <c r="A102" s="16">
        <v>99</v>
      </c>
      <c r="B102" s="23" t="s">
        <v>207</v>
      </c>
      <c r="C102" s="23" t="s">
        <v>208</v>
      </c>
      <c r="D102" s="16">
        <v>93748</v>
      </c>
      <c r="E102" s="23" t="s">
        <v>317</v>
      </c>
      <c r="F102" s="23" t="s">
        <v>31</v>
      </c>
      <c r="G102" s="16" t="s">
        <v>26</v>
      </c>
      <c r="H102" s="24">
        <v>37739</v>
      </c>
      <c r="I102" s="23" t="s">
        <v>32</v>
      </c>
      <c r="J102" s="16" t="s">
        <v>214</v>
      </c>
      <c r="K102" s="25">
        <f>86+85+87</f>
        <v>258</v>
      </c>
      <c r="L102" s="26">
        <f t="shared" si="7"/>
        <v>86</v>
      </c>
      <c r="M102" s="25">
        <v>91</v>
      </c>
      <c r="N102" s="25">
        <f t="shared" si="8"/>
        <v>91</v>
      </c>
      <c r="O102" s="25">
        <v>487</v>
      </c>
      <c r="P102" s="25">
        <v>94.64</v>
      </c>
      <c r="Q102" s="27">
        <v>44869</v>
      </c>
      <c r="R102" s="23">
        <v>4109020313</v>
      </c>
      <c r="S102" s="23">
        <v>450000</v>
      </c>
    </row>
    <row r="103" spans="1:20" x14ac:dyDescent="0.2">
      <c r="A103" s="16">
        <v>100</v>
      </c>
      <c r="B103" s="23" t="s">
        <v>207</v>
      </c>
      <c r="C103" s="23" t="s">
        <v>208</v>
      </c>
      <c r="D103" s="16">
        <v>89983</v>
      </c>
      <c r="E103" s="23" t="s">
        <v>318</v>
      </c>
      <c r="F103" s="23" t="s">
        <v>25</v>
      </c>
      <c r="G103" s="16" t="s">
        <v>26</v>
      </c>
      <c r="H103" s="24">
        <v>37916</v>
      </c>
      <c r="I103" s="23" t="s">
        <v>32</v>
      </c>
      <c r="J103" s="16" t="s">
        <v>210</v>
      </c>
      <c r="K103" s="25">
        <f>95+96+96</f>
        <v>287</v>
      </c>
      <c r="L103" s="26">
        <f t="shared" si="7"/>
        <v>95.666666666666671</v>
      </c>
      <c r="M103" s="25">
        <v>99</v>
      </c>
      <c r="N103" s="25">
        <f t="shared" si="8"/>
        <v>99</v>
      </c>
      <c r="O103" s="25">
        <v>492</v>
      </c>
      <c r="P103" s="23">
        <v>94.87</v>
      </c>
      <c r="Q103" s="27">
        <v>44893</v>
      </c>
      <c r="R103" s="23">
        <v>4101250283</v>
      </c>
      <c r="S103" s="23">
        <v>450000</v>
      </c>
    </row>
    <row r="104" spans="1:20" x14ac:dyDescent="0.2">
      <c r="A104" s="16">
        <v>101</v>
      </c>
      <c r="B104" s="23" t="s">
        <v>207</v>
      </c>
      <c r="C104" s="23" t="s">
        <v>208</v>
      </c>
      <c r="D104" s="16">
        <v>452846</v>
      </c>
      <c r="E104" s="23" t="s">
        <v>319</v>
      </c>
      <c r="F104" s="23" t="s">
        <v>31</v>
      </c>
      <c r="G104" s="16" t="s">
        <v>26</v>
      </c>
      <c r="H104" s="24">
        <v>37659</v>
      </c>
      <c r="I104" s="23" t="s">
        <v>212</v>
      </c>
      <c r="J104" s="16" t="s">
        <v>222</v>
      </c>
      <c r="K104" s="30">
        <f>76+80+86</f>
        <v>242</v>
      </c>
      <c r="L104" s="31">
        <f t="shared" si="7"/>
        <v>80.666666666666657</v>
      </c>
      <c r="M104" s="30">
        <v>90</v>
      </c>
      <c r="N104" s="30">
        <f t="shared" si="8"/>
        <v>90</v>
      </c>
      <c r="O104" s="30">
        <v>235</v>
      </c>
      <c r="P104" s="30">
        <v>74.27</v>
      </c>
      <c r="Q104" s="27">
        <v>44869</v>
      </c>
      <c r="R104" s="23">
        <v>4120020019</v>
      </c>
      <c r="S104" s="23"/>
    </row>
    <row r="105" spans="1:20" x14ac:dyDescent="0.2">
      <c r="A105" s="16">
        <v>102</v>
      </c>
      <c r="B105" s="23" t="s">
        <v>207</v>
      </c>
      <c r="C105" s="23" t="s">
        <v>208</v>
      </c>
      <c r="D105" s="16">
        <v>92276</v>
      </c>
      <c r="E105" s="23" t="s">
        <v>320</v>
      </c>
      <c r="F105" s="23" t="s">
        <v>31</v>
      </c>
      <c r="G105" s="16" t="s">
        <v>26</v>
      </c>
      <c r="H105" s="24">
        <v>37796</v>
      </c>
      <c r="I105" s="23" t="s">
        <v>32</v>
      </c>
      <c r="J105" s="16" t="s">
        <v>210</v>
      </c>
      <c r="K105" s="25">
        <f>82+95+91</f>
        <v>268</v>
      </c>
      <c r="L105" s="26">
        <f t="shared" si="7"/>
        <v>89.333333333333329</v>
      </c>
      <c r="M105" s="25">
        <v>88</v>
      </c>
      <c r="N105" s="25">
        <f t="shared" si="8"/>
        <v>88</v>
      </c>
      <c r="O105" s="25">
        <v>489</v>
      </c>
      <c r="P105" s="23">
        <v>94.73</v>
      </c>
      <c r="Q105" s="27">
        <v>44893</v>
      </c>
      <c r="R105" s="23">
        <v>4119010327</v>
      </c>
      <c r="S105" s="23">
        <v>450000</v>
      </c>
    </row>
    <row r="106" spans="1:20" x14ac:dyDescent="0.2">
      <c r="A106" s="16">
        <v>103</v>
      </c>
      <c r="B106" s="23" t="s">
        <v>207</v>
      </c>
      <c r="C106" s="23" t="s">
        <v>208</v>
      </c>
      <c r="D106" s="16">
        <v>579651</v>
      </c>
      <c r="E106" s="23" t="s">
        <v>321</v>
      </c>
      <c r="F106" s="23" t="s">
        <v>31</v>
      </c>
      <c r="G106" s="16" t="s">
        <v>26</v>
      </c>
      <c r="H106" s="24">
        <v>37957</v>
      </c>
      <c r="I106" s="23" t="s">
        <v>212</v>
      </c>
      <c r="J106" s="16" t="s">
        <v>214</v>
      </c>
      <c r="K106" s="25">
        <f>74+74+75</f>
        <v>223</v>
      </c>
      <c r="L106" s="26">
        <f t="shared" si="7"/>
        <v>74.333333333333329</v>
      </c>
      <c r="M106" s="25">
        <v>91</v>
      </c>
      <c r="N106" s="25">
        <f t="shared" si="8"/>
        <v>91</v>
      </c>
      <c r="O106" s="25">
        <v>187</v>
      </c>
      <c r="P106" s="25">
        <v>66.989999999999995</v>
      </c>
      <c r="Q106" s="27">
        <v>44912</v>
      </c>
      <c r="R106" s="23">
        <v>4122010961</v>
      </c>
      <c r="S106" s="23"/>
    </row>
    <row r="107" spans="1:20" x14ac:dyDescent="0.2">
      <c r="A107" s="16">
        <v>104</v>
      </c>
      <c r="B107" s="23" t="s">
        <v>207</v>
      </c>
      <c r="C107" s="23" t="s">
        <v>208</v>
      </c>
      <c r="D107" s="16">
        <v>342717</v>
      </c>
      <c r="E107" s="23" t="s">
        <v>322</v>
      </c>
      <c r="F107" s="23" t="s">
        <v>31</v>
      </c>
      <c r="G107" s="16" t="s">
        <v>26</v>
      </c>
      <c r="H107" s="24">
        <v>37774</v>
      </c>
      <c r="I107" s="23" t="s">
        <v>212</v>
      </c>
      <c r="J107" s="16" t="s">
        <v>222</v>
      </c>
      <c r="K107" s="25">
        <f>95+83+86</f>
        <v>264</v>
      </c>
      <c r="L107" s="26">
        <f t="shared" si="7"/>
        <v>88</v>
      </c>
      <c r="M107" s="25">
        <v>91</v>
      </c>
      <c r="N107" s="25">
        <f t="shared" si="8"/>
        <v>91</v>
      </c>
      <c r="O107" s="25">
        <v>288</v>
      </c>
      <c r="P107" s="25">
        <v>80.5</v>
      </c>
      <c r="Q107" s="27">
        <v>44868</v>
      </c>
      <c r="R107" s="23">
        <v>4111020172</v>
      </c>
      <c r="S107" s="23"/>
    </row>
    <row r="108" spans="1:20" x14ac:dyDescent="0.2">
      <c r="A108" s="16">
        <v>105</v>
      </c>
      <c r="B108" s="23" t="s">
        <v>207</v>
      </c>
      <c r="C108" s="23" t="s">
        <v>208</v>
      </c>
      <c r="D108" s="16">
        <v>84177</v>
      </c>
      <c r="E108" s="23" t="s">
        <v>323</v>
      </c>
      <c r="F108" s="23" t="s">
        <v>25</v>
      </c>
      <c r="G108" s="16" t="s">
        <v>26</v>
      </c>
      <c r="H108" s="24">
        <v>37474</v>
      </c>
      <c r="I108" s="23" t="s">
        <v>32</v>
      </c>
      <c r="J108" s="16" t="s">
        <v>210</v>
      </c>
      <c r="K108" s="25">
        <f>81+77+85</f>
        <v>243</v>
      </c>
      <c r="L108" s="26">
        <f t="shared" si="7"/>
        <v>81</v>
      </c>
      <c r="M108" s="25">
        <v>77</v>
      </c>
      <c r="N108" s="25">
        <f t="shared" si="8"/>
        <v>77</v>
      </c>
      <c r="O108" s="25">
        <v>500</v>
      </c>
      <c r="P108" s="23">
        <v>95.22</v>
      </c>
      <c r="Q108" s="27">
        <v>44893</v>
      </c>
      <c r="R108" s="23">
        <v>4110010246</v>
      </c>
      <c r="S108" s="23">
        <v>450000</v>
      </c>
    </row>
    <row r="109" spans="1:20" x14ac:dyDescent="0.2">
      <c r="A109" s="16">
        <v>106</v>
      </c>
      <c r="B109" s="23" t="s">
        <v>207</v>
      </c>
      <c r="C109" s="23" t="s">
        <v>208</v>
      </c>
      <c r="D109" s="16">
        <v>525506</v>
      </c>
      <c r="E109" s="23" t="s">
        <v>324</v>
      </c>
      <c r="F109" s="23" t="s">
        <v>25</v>
      </c>
      <c r="G109" s="16" t="s">
        <v>26</v>
      </c>
      <c r="H109" s="24">
        <v>38269</v>
      </c>
      <c r="I109" s="23" t="s">
        <v>212</v>
      </c>
      <c r="J109" s="16" t="s">
        <v>210</v>
      </c>
      <c r="K109" s="30">
        <f>78+72+93</f>
        <v>243</v>
      </c>
      <c r="L109" s="31">
        <f t="shared" si="7"/>
        <v>81</v>
      </c>
      <c r="M109" s="30">
        <v>85</v>
      </c>
      <c r="N109" s="30">
        <f t="shared" si="8"/>
        <v>85</v>
      </c>
      <c r="O109" s="30">
        <v>206</v>
      </c>
      <c r="P109" s="30">
        <v>70.13</v>
      </c>
      <c r="Q109" s="33">
        <v>44867</v>
      </c>
      <c r="R109" s="23">
        <v>4113070369</v>
      </c>
      <c r="S109" s="23"/>
    </row>
    <row r="110" spans="1:20" x14ac:dyDescent="0.2">
      <c r="A110" s="16">
        <v>107</v>
      </c>
      <c r="B110" s="23" t="s">
        <v>207</v>
      </c>
      <c r="C110" s="23" t="s">
        <v>208</v>
      </c>
      <c r="D110" s="16">
        <v>108908</v>
      </c>
      <c r="E110" s="23" t="s">
        <v>325</v>
      </c>
      <c r="F110" s="23" t="s">
        <v>31</v>
      </c>
      <c r="G110" s="16" t="s">
        <v>26</v>
      </c>
      <c r="H110" s="24">
        <v>37087</v>
      </c>
      <c r="I110" s="23" t="s">
        <v>32</v>
      </c>
      <c r="J110" s="16" t="s">
        <v>214</v>
      </c>
      <c r="K110" s="25">
        <f>176+171+134</f>
        <v>481</v>
      </c>
      <c r="L110" s="26">
        <f>K110/600*100</f>
        <v>80.166666666666657</v>
      </c>
      <c r="M110" s="25">
        <v>181</v>
      </c>
      <c r="N110" s="25">
        <f>M110/200*100</f>
        <v>90.5</v>
      </c>
      <c r="O110" s="25">
        <v>469</v>
      </c>
      <c r="P110" s="23">
        <v>93.78</v>
      </c>
      <c r="Q110" s="27">
        <v>44893</v>
      </c>
      <c r="R110" s="23">
        <v>4114080335</v>
      </c>
      <c r="S110" s="23">
        <v>450000</v>
      </c>
    </row>
    <row r="111" spans="1:20" x14ac:dyDescent="0.2">
      <c r="A111" s="16">
        <v>108</v>
      </c>
      <c r="B111" s="23" t="s">
        <v>207</v>
      </c>
      <c r="C111" s="23" t="s">
        <v>208</v>
      </c>
      <c r="D111" s="16">
        <v>211616</v>
      </c>
      <c r="E111" s="23" t="s">
        <v>326</v>
      </c>
      <c r="F111" s="23" t="s">
        <v>31</v>
      </c>
      <c r="G111" s="16" t="s">
        <v>26</v>
      </c>
      <c r="H111" s="24">
        <v>37714</v>
      </c>
      <c r="I111" s="23" t="s">
        <v>32</v>
      </c>
      <c r="J111" s="16" t="s">
        <v>44</v>
      </c>
      <c r="K111" s="25">
        <f>74+76+87</f>
        <v>237</v>
      </c>
      <c r="L111" s="26">
        <f t="shared" ref="L111:L121" si="9">K111/300*100</f>
        <v>79</v>
      </c>
      <c r="M111" s="25">
        <v>87</v>
      </c>
      <c r="N111" s="25">
        <f t="shared" ref="N111:N121" si="10">M111/100*100</f>
        <v>87</v>
      </c>
      <c r="O111" s="25">
        <v>373</v>
      </c>
      <c r="P111" s="23">
        <v>87.98</v>
      </c>
      <c r="Q111" s="27">
        <v>44893</v>
      </c>
      <c r="R111" s="23">
        <v>4120030575</v>
      </c>
      <c r="S111" s="23">
        <v>450000</v>
      </c>
    </row>
    <row r="112" spans="1:20" x14ac:dyDescent="0.2">
      <c r="A112" s="16">
        <v>109</v>
      </c>
      <c r="B112" s="23" t="s">
        <v>207</v>
      </c>
      <c r="C112" s="23" t="s">
        <v>208</v>
      </c>
      <c r="D112" s="16">
        <v>76789</v>
      </c>
      <c r="E112" s="23" t="s">
        <v>327</v>
      </c>
      <c r="F112" s="23" t="s">
        <v>25</v>
      </c>
      <c r="G112" s="16" t="s">
        <v>26</v>
      </c>
      <c r="H112" s="24">
        <v>37219</v>
      </c>
      <c r="I112" s="23" t="s">
        <v>32</v>
      </c>
      <c r="J112" s="16" t="s">
        <v>210</v>
      </c>
      <c r="K112" s="25">
        <f>72+83+61</f>
        <v>216</v>
      </c>
      <c r="L112" s="26">
        <f t="shared" si="9"/>
        <v>72</v>
      </c>
      <c r="M112" s="25">
        <v>79</v>
      </c>
      <c r="N112" s="25">
        <f t="shared" si="10"/>
        <v>79</v>
      </c>
      <c r="O112" s="25">
        <v>509</v>
      </c>
      <c r="P112" s="25">
        <v>95.61</v>
      </c>
      <c r="Q112" s="27" t="s">
        <v>328</v>
      </c>
      <c r="R112" s="23">
        <v>4121020534</v>
      </c>
      <c r="S112" s="23">
        <v>450000</v>
      </c>
    </row>
    <row r="113" spans="1:19" x14ac:dyDescent="0.2">
      <c r="A113" s="16">
        <v>110</v>
      </c>
      <c r="B113" s="23" t="s">
        <v>207</v>
      </c>
      <c r="C113" s="23" t="s">
        <v>208</v>
      </c>
      <c r="D113" s="16">
        <v>865620</v>
      </c>
      <c r="E113" s="23" t="s">
        <v>329</v>
      </c>
      <c r="F113" s="23" t="s">
        <v>25</v>
      </c>
      <c r="G113" s="16" t="s">
        <v>26</v>
      </c>
      <c r="H113" s="24">
        <v>37769</v>
      </c>
      <c r="I113" s="23" t="s">
        <v>212</v>
      </c>
      <c r="J113" s="16" t="s">
        <v>214</v>
      </c>
      <c r="K113" s="25">
        <f>49+51+72</f>
        <v>172</v>
      </c>
      <c r="L113" s="26">
        <f t="shared" si="9"/>
        <v>57.333333333333336</v>
      </c>
      <c r="M113" s="25">
        <v>73</v>
      </c>
      <c r="N113" s="25">
        <f t="shared" si="10"/>
        <v>73</v>
      </c>
      <c r="O113" s="25">
        <v>119</v>
      </c>
      <c r="P113" s="25">
        <v>50.65</v>
      </c>
      <c r="Q113" s="27">
        <v>44893</v>
      </c>
      <c r="R113" s="23">
        <v>4109020528</v>
      </c>
      <c r="S113" s="23"/>
    </row>
    <row r="114" spans="1:19" x14ac:dyDescent="0.2">
      <c r="A114" s="16">
        <v>111</v>
      </c>
      <c r="B114" s="23" t="s">
        <v>207</v>
      </c>
      <c r="C114" s="23" t="s">
        <v>208</v>
      </c>
      <c r="D114" s="16">
        <v>310584</v>
      </c>
      <c r="E114" s="23" t="s">
        <v>330</v>
      </c>
      <c r="F114" s="23" t="s">
        <v>25</v>
      </c>
      <c r="G114" s="16" t="s">
        <v>26</v>
      </c>
      <c r="H114" s="24">
        <v>37851</v>
      </c>
      <c r="I114" s="23" t="s">
        <v>212</v>
      </c>
      <c r="J114" s="16" t="s">
        <v>210</v>
      </c>
      <c r="K114" s="30">
        <f>83+80+90</f>
        <v>253</v>
      </c>
      <c r="L114" s="31">
        <f t="shared" si="9"/>
        <v>84.333333333333343</v>
      </c>
      <c r="M114" s="30">
        <v>86</v>
      </c>
      <c r="N114" s="30">
        <f t="shared" si="10"/>
        <v>86</v>
      </c>
      <c r="O114" s="30">
        <v>306</v>
      </c>
      <c r="P114" s="30">
        <v>82.31</v>
      </c>
      <c r="Q114" s="27">
        <v>44867</v>
      </c>
      <c r="R114" s="23">
        <v>4114020838</v>
      </c>
      <c r="S114" s="23"/>
    </row>
    <row r="115" spans="1:19" x14ac:dyDescent="0.2">
      <c r="A115" s="16">
        <v>112</v>
      </c>
      <c r="B115" s="23" t="s">
        <v>207</v>
      </c>
      <c r="C115" s="23" t="s">
        <v>208</v>
      </c>
      <c r="D115" s="16">
        <v>448667</v>
      </c>
      <c r="E115" s="23" t="s">
        <v>331</v>
      </c>
      <c r="F115" s="23" t="s">
        <v>31</v>
      </c>
      <c r="G115" s="16" t="s">
        <v>26</v>
      </c>
      <c r="H115" s="24">
        <v>37632</v>
      </c>
      <c r="I115" s="23" t="s">
        <v>212</v>
      </c>
      <c r="J115" s="16" t="s">
        <v>210</v>
      </c>
      <c r="K115" s="25">
        <f>87+88+89</f>
        <v>264</v>
      </c>
      <c r="L115" s="26">
        <f t="shared" si="9"/>
        <v>88</v>
      </c>
      <c r="M115" s="25">
        <v>91</v>
      </c>
      <c r="N115" s="25">
        <f t="shared" si="10"/>
        <v>91</v>
      </c>
      <c r="O115" s="25">
        <v>237</v>
      </c>
      <c r="P115" s="25">
        <v>74.540000000000006</v>
      </c>
      <c r="Q115" s="27">
        <v>44893</v>
      </c>
      <c r="R115" s="23">
        <v>4113050551</v>
      </c>
      <c r="S115" s="23"/>
    </row>
    <row r="116" spans="1:19" x14ac:dyDescent="0.2">
      <c r="A116" s="16">
        <v>113</v>
      </c>
      <c r="B116" s="23" t="s">
        <v>207</v>
      </c>
      <c r="C116" s="23" t="s">
        <v>208</v>
      </c>
      <c r="D116" s="16">
        <v>309543</v>
      </c>
      <c r="E116" s="23" t="s">
        <v>332</v>
      </c>
      <c r="F116" s="23" t="s">
        <v>25</v>
      </c>
      <c r="G116" s="16" t="s">
        <v>26</v>
      </c>
      <c r="H116" s="24">
        <v>37956</v>
      </c>
      <c r="I116" s="23" t="s">
        <v>212</v>
      </c>
      <c r="J116" s="16" t="s">
        <v>210</v>
      </c>
      <c r="K116" s="25">
        <f>85+83+85</f>
        <v>253</v>
      </c>
      <c r="L116" s="26">
        <f t="shared" si="9"/>
        <v>84.333333333333343</v>
      </c>
      <c r="M116" s="25">
        <v>81</v>
      </c>
      <c r="N116" s="25">
        <f t="shared" si="10"/>
        <v>81</v>
      </c>
      <c r="O116" s="25">
        <v>307</v>
      </c>
      <c r="P116" s="25">
        <v>82.4</v>
      </c>
      <c r="Q116" s="27">
        <v>44868</v>
      </c>
      <c r="R116" s="23">
        <v>4101050653</v>
      </c>
      <c r="S116" s="23"/>
    </row>
    <row r="117" spans="1:19" x14ac:dyDescent="0.2">
      <c r="A117" s="16">
        <v>114</v>
      </c>
      <c r="B117" s="23" t="s">
        <v>207</v>
      </c>
      <c r="C117" s="23" t="s">
        <v>208</v>
      </c>
      <c r="D117" s="16">
        <v>269718</v>
      </c>
      <c r="E117" s="23" t="s">
        <v>333</v>
      </c>
      <c r="F117" s="23" t="s">
        <v>25</v>
      </c>
      <c r="G117" s="16" t="s">
        <v>26</v>
      </c>
      <c r="H117" s="24">
        <v>38219</v>
      </c>
      <c r="I117" s="23" t="s">
        <v>212</v>
      </c>
      <c r="J117" s="16" t="s">
        <v>222</v>
      </c>
      <c r="K117" s="25">
        <f>88+95+72</f>
        <v>255</v>
      </c>
      <c r="L117" s="26">
        <f t="shared" si="9"/>
        <v>85</v>
      </c>
      <c r="M117" s="25">
        <v>84</v>
      </c>
      <c r="N117" s="25">
        <f t="shared" si="10"/>
        <v>84</v>
      </c>
      <c r="O117" s="25">
        <v>332</v>
      </c>
      <c r="P117" s="25">
        <v>84.71</v>
      </c>
      <c r="Q117" s="27">
        <v>44893</v>
      </c>
      <c r="R117" s="23">
        <v>4129010264</v>
      </c>
      <c r="S117" s="23"/>
    </row>
    <row r="118" spans="1:19" x14ac:dyDescent="0.2">
      <c r="A118" s="16">
        <v>115</v>
      </c>
      <c r="B118" s="23" t="s">
        <v>207</v>
      </c>
      <c r="C118" s="23" t="s">
        <v>208</v>
      </c>
      <c r="D118" s="16">
        <v>109252</v>
      </c>
      <c r="E118" s="23" t="s">
        <v>334</v>
      </c>
      <c r="F118" s="23" t="s">
        <v>25</v>
      </c>
      <c r="G118" s="16" t="s">
        <v>26</v>
      </c>
      <c r="H118" s="24">
        <v>38045</v>
      </c>
      <c r="I118" s="23" t="s">
        <v>32</v>
      </c>
      <c r="J118" s="16" t="s">
        <v>214</v>
      </c>
      <c r="K118" s="25">
        <f>79+82+90</f>
        <v>251</v>
      </c>
      <c r="L118" s="26">
        <f t="shared" si="9"/>
        <v>83.666666666666671</v>
      </c>
      <c r="M118" s="25">
        <v>90</v>
      </c>
      <c r="N118" s="25">
        <f t="shared" si="10"/>
        <v>90</v>
      </c>
      <c r="O118" s="25">
        <v>469</v>
      </c>
      <c r="P118" s="23">
        <v>93.78</v>
      </c>
      <c r="Q118" s="27">
        <v>44893</v>
      </c>
      <c r="R118" s="23">
        <v>4122020460</v>
      </c>
      <c r="S118" s="23">
        <v>450000</v>
      </c>
    </row>
    <row r="119" spans="1:19" x14ac:dyDescent="0.2">
      <c r="A119" s="16">
        <v>116</v>
      </c>
      <c r="B119" s="23" t="s">
        <v>207</v>
      </c>
      <c r="C119" s="23" t="s">
        <v>208</v>
      </c>
      <c r="D119" s="16">
        <v>103097</v>
      </c>
      <c r="E119" s="23" t="s">
        <v>335</v>
      </c>
      <c r="F119" s="23" t="s">
        <v>31</v>
      </c>
      <c r="G119" s="16" t="s">
        <v>26</v>
      </c>
      <c r="H119" s="24">
        <v>37607</v>
      </c>
      <c r="I119" s="23" t="s">
        <v>32</v>
      </c>
      <c r="J119" s="16" t="s">
        <v>214</v>
      </c>
      <c r="K119" s="25">
        <f>63+65+82</f>
        <v>210</v>
      </c>
      <c r="L119" s="26">
        <f t="shared" si="9"/>
        <v>70</v>
      </c>
      <c r="M119" s="25">
        <v>87</v>
      </c>
      <c r="N119" s="25">
        <f t="shared" si="10"/>
        <v>87</v>
      </c>
      <c r="O119" s="25">
        <v>476</v>
      </c>
      <c r="P119" s="23">
        <v>94.12</v>
      </c>
      <c r="Q119" s="27">
        <v>44893</v>
      </c>
      <c r="R119" s="23">
        <v>3701030169</v>
      </c>
      <c r="S119" s="23">
        <v>450000</v>
      </c>
    </row>
    <row r="120" spans="1:19" x14ac:dyDescent="0.2">
      <c r="A120" s="16">
        <v>117</v>
      </c>
      <c r="B120" s="23" t="s">
        <v>207</v>
      </c>
      <c r="C120" s="23" t="s">
        <v>208</v>
      </c>
      <c r="D120" s="16">
        <v>82775</v>
      </c>
      <c r="E120" s="23" t="s">
        <v>336</v>
      </c>
      <c r="F120" s="23" t="s">
        <v>25</v>
      </c>
      <c r="G120" s="16" t="s">
        <v>26</v>
      </c>
      <c r="H120" s="24">
        <v>37917</v>
      </c>
      <c r="I120" s="23" t="s">
        <v>32</v>
      </c>
      <c r="J120" s="16" t="s">
        <v>217</v>
      </c>
      <c r="K120" s="25">
        <f>95.5+94.93+94.07</f>
        <v>284.5</v>
      </c>
      <c r="L120" s="26">
        <f t="shared" si="9"/>
        <v>94.833333333333343</v>
      </c>
      <c r="M120" s="25">
        <v>97.28</v>
      </c>
      <c r="N120" s="25">
        <f t="shared" si="10"/>
        <v>97.28</v>
      </c>
      <c r="O120" s="25">
        <v>501</v>
      </c>
      <c r="P120" s="25">
        <v>95.27</v>
      </c>
      <c r="Q120" s="27">
        <v>44865</v>
      </c>
      <c r="R120" s="23">
        <v>4103050164</v>
      </c>
      <c r="S120" s="23">
        <v>450000</v>
      </c>
    </row>
    <row r="121" spans="1:19" x14ac:dyDescent="0.2">
      <c r="A121" s="16">
        <v>118</v>
      </c>
      <c r="B121" s="23" t="s">
        <v>207</v>
      </c>
      <c r="C121" s="23" t="s">
        <v>208</v>
      </c>
      <c r="D121" s="16">
        <v>83473</v>
      </c>
      <c r="E121" s="23" t="s">
        <v>337</v>
      </c>
      <c r="F121" s="23" t="s">
        <v>31</v>
      </c>
      <c r="G121" s="16" t="s">
        <v>26</v>
      </c>
      <c r="H121" s="24">
        <v>37494</v>
      </c>
      <c r="I121" s="23" t="s">
        <v>32</v>
      </c>
      <c r="J121" s="16" t="s">
        <v>210</v>
      </c>
      <c r="K121" s="25">
        <f>90+84+80</f>
        <v>254</v>
      </c>
      <c r="L121" s="26">
        <f t="shared" si="9"/>
        <v>84.666666666666671</v>
      </c>
      <c r="M121" s="25">
        <v>85</v>
      </c>
      <c r="N121" s="25">
        <f t="shared" si="10"/>
        <v>85</v>
      </c>
      <c r="O121" s="25">
        <v>500</v>
      </c>
      <c r="P121" s="23">
        <v>95.22</v>
      </c>
      <c r="Q121" s="27">
        <v>44894</v>
      </c>
      <c r="R121" s="23">
        <v>4129050234</v>
      </c>
      <c r="S121" s="23">
        <v>450000</v>
      </c>
    </row>
    <row r="122" spans="1:19" x14ac:dyDescent="0.2">
      <c r="A122" s="16">
        <v>119</v>
      </c>
      <c r="B122" s="23" t="s">
        <v>207</v>
      </c>
      <c r="C122" s="23" t="s">
        <v>208</v>
      </c>
      <c r="D122" s="16">
        <v>94810</v>
      </c>
      <c r="E122" s="23" t="s">
        <v>338</v>
      </c>
      <c r="F122" s="23" t="s">
        <v>25</v>
      </c>
      <c r="G122" s="16" t="s">
        <v>26</v>
      </c>
      <c r="H122" s="24">
        <v>37019</v>
      </c>
      <c r="I122" s="23" t="s">
        <v>32</v>
      </c>
      <c r="J122" s="16" t="s">
        <v>217</v>
      </c>
      <c r="K122" s="25">
        <f>157+169+137</f>
        <v>463</v>
      </c>
      <c r="L122" s="26">
        <f>K122/600*100</f>
        <v>77.166666666666657</v>
      </c>
      <c r="M122" s="25">
        <v>173</v>
      </c>
      <c r="N122" s="25">
        <f>M122/200*100</f>
        <v>86.5</v>
      </c>
      <c r="O122" s="25">
        <v>486</v>
      </c>
      <c r="P122" s="25">
        <v>94.6</v>
      </c>
      <c r="Q122" s="27">
        <v>44895</v>
      </c>
      <c r="R122" s="23">
        <v>4125030317</v>
      </c>
      <c r="S122" s="23">
        <v>450000</v>
      </c>
    </row>
    <row r="123" spans="1:19" x14ac:dyDescent="0.2">
      <c r="A123" s="16">
        <v>120</v>
      </c>
      <c r="B123" s="23" t="s">
        <v>207</v>
      </c>
      <c r="C123" s="23" t="s">
        <v>208</v>
      </c>
      <c r="D123" s="16">
        <v>72354</v>
      </c>
      <c r="E123" s="23" t="s">
        <v>339</v>
      </c>
      <c r="F123" s="23" t="s">
        <v>25</v>
      </c>
      <c r="G123" s="16" t="s">
        <v>26</v>
      </c>
      <c r="H123" s="24">
        <v>37548</v>
      </c>
      <c r="I123" s="23" t="s">
        <v>32</v>
      </c>
      <c r="J123" s="16" t="s">
        <v>210</v>
      </c>
      <c r="K123" s="25">
        <f>91+92+91</f>
        <v>274</v>
      </c>
      <c r="L123" s="26">
        <f>K123/300*100</f>
        <v>91.333333333333329</v>
      </c>
      <c r="M123" s="25">
        <v>89</v>
      </c>
      <c r="N123" s="25">
        <f>M123/100*100</f>
        <v>89</v>
      </c>
      <c r="O123" s="25">
        <v>515</v>
      </c>
      <c r="P123" s="25">
        <v>95.85</v>
      </c>
      <c r="Q123" s="27">
        <v>44867</v>
      </c>
      <c r="R123" s="23">
        <v>4108010599</v>
      </c>
      <c r="S123" s="23">
        <v>450000</v>
      </c>
    </row>
    <row r="124" spans="1:19" x14ac:dyDescent="0.2">
      <c r="A124" s="16">
        <v>121</v>
      </c>
      <c r="B124" s="23" t="s">
        <v>207</v>
      </c>
      <c r="C124" s="23" t="s">
        <v>208</v>
      </c>
      <c r="D124" s="16">
        <v>288311</v>
      </c>
      <c r="E124" s="23" t="s">
        <v>340</v>
      </c>
      <c r="F124" s="23" t="s">
        <v>31</v>
      </c>
      <c r="G124" s="16" t="s">
        <v>26</v>
      </c>
      <c r="H124" s="24">
        <v>37880</v>
      </c>
      <c r="I124" s="23" t="s">
        <v>212</v>
      </c>
      <c r="J124" s="16" t="s">
        <v>222</v>
      </c>
      <c r="K124" s="30">
        <f>83+69+74</f>
        <v>226</v>
      </c>
      <c r="L124" s="31">
        <f>K124/300*100</f>
        <v>75.333333333333329</v>
      </c>
      <c r="M124" s="30">
        <v>86</v>
      </c>
      <c r="N124" s="30">
        <f>M124/100*100</f>
        <v>86</v>
      </c>
      <c r="O124" s="30">
        <v>320</v>
      </c>
      <c r="P124" s="30">
        <v>83.63</v>
      </c>
      <c r="Q124" s="27">
        <v>44866</v>
      </c>
      <c r="R124" s="23">
        <v>4108040451</v>
      </c>
      <c r="S124" s="23"/>
    </row>
    <row r="125" spans="1:19" x14ac:dyDescent="0.2">
      <c r="A125" s="16">
        <v>122</v>
      </c>
      <c r="B125" s="23" t="s">
        <v>207</v>
      </c>
      <c r="C125" s="23" t="s">
        <v>208</v>
      </c>
      <c r="D125" s="16">
        <v>200755</v>
      </c>
      <c r="E125" s="23" t="s">
        <v>341</v>
      </c>
      <c r="F125" s="23" t="s">
        <v>25</v>
      </c>
      <c r="G125" s="16" t="s">
        <v>26</v>
      </c>
      <c r="H125" s="24">
        <v>36714</v>
      </c>
      <c r="I125" s="23" t="s">
        <v>32</v>
      </c>
      <c r="J125" s="16" t="s">
        <v>44</v>
      </c>
      <c r="K125" s="25">
        <f>175+166+138</f>
        <v>479</v>
      </c>
      <c r="L125" s="26">
        <f>K125/600*100</f>
        <v>79.833333333333329</v>
      </c>
      <c r="M125" s="25">
        <v>166</v>
      </c>
      <c r="N125" s="25">
        <f>M125/200*100</f>
        <v>83</v>
      </c>
      <c r="O125" s="25">
        <v>381</v>
      </c>
      <c r="P125" s="25">
        <v>88.56</v>
      </c>
      <c r="Q125" s="27">
        <v>44867</v>
      </c>
      <c r="R125" s="23">
        <v>4101060565</v>
      </c>
      <c r="S125" s="23">
        <v>450000</v>
      </c>
    </row>
    <row r="126" spans="1:19" x14ac:dyDescent="0.2">
      <c r="A126" s="16">
        <v>123</v>
      </c>
      <c r="B126" s="23" t="s">
        <v>207</v>
      </c>
      <c r="C126" s="23" t="s">
        <v>208</v>
      </c>
      <c r="D126" s="16">
        <v>683312</v>
      </c>
      <c r="E126" s="23" t="s">
        <v>342</v>
      </c>
      <c r="F126" s="23" t="s">
        <v>31</v>
      </c>
      <c r="G126" s="16" t="s">
        <v>26</v>
      </c>
      <c r="H126" s="24">
        <v>37936</v>
      </c>
      <c r="I126" s="23" t="s">
        <v>212</v>
      </c>
      <c r="J126" s="16" t="s">
        <v>210</v>
      </c>
      <c r="K126" s="25">
        <v>279</v>
      </c>
      <c r="L126" s="26">
        <f t="shared" ref="L126:L147" si="11">K126/300*100</f>
        <v>93</v>
      </c>
      <c r="M126" s="25">
        <v>94</v>
      </c>
      <c r="N126" s="25">
        <f t="shared" ref="N126:N153" si="12">M126/100*100</f>
        <v>94</v>
      </c>
      <c r="O126" s="25">
        <v>157</v>
      </c>
      <c r="P126" s="25">
        <v>61.11</v>
      </c>
      <c r="Q126" s="27">
        <v>44892</v>
      </c>
      <c r="R126" s="23">
        <v>4131010281</v>
      </c>
      <c r="S126" s="23"/>
    </row>
    <row r="127" spans="1:19" x14ac:dyDescent="0.2">
      <c r="A127" s="16">
        <v>124</v>
      </c>
      <c r="B127" s="23" t="s">
        <v>207</v>
      </c>
      <c r="C127" s="23" t="s">
        <v>208</v>
      </c>
      <c r="D127" s="16">
        <v>200717</v>
      </c>
      <c r="E127" s="23" t="s">
        <v>343</v>
      </c>
      <c r="F127" s="23" t="s">
        <v>31</v>
      </c>
      <c r="G127" s="16" t="s">
        <v>26</v>
      </c>
      <c r="H127" s="24">
        <v>37839</v>
      </c>
      <c r="I127" s="23" t="s">
        <v>32</v>
      </c>
      <c r="J127" s="16" t="s">
        <v>44</v>
      </c>
      <c r="K127" s="25">
        <f>92+92+97</f>
        <v>281</v>
      </c>
      <c r="L127" s="26">
        <f t="shared" si="11"/>
        <v>93.666666666666671</v>
      </c>
      <c r="M127" s="25">
        <v>88</v>
      </c>
      <c r="N127" s="25">
        <f t="shared" si="12"/>
        <v>88</v>
      </c>
      <c r="O127" s="25">
        <v>381</v>
      </c>
      <c r="P127" s="25">
        <v>88.56</v>
      </c>
      <c r="Q127" s="27">
        <v>44867</v>
      </c>
      <c r="R127" s="23">
        <v>4112040148</v>
      </c>
      <c r="S127" s="23">
        <v>450000</v>
      </c>
    </row>
    <row r="128" spans="1:19" x14ac:dyDescent="0.2">
      <c r="A128" s="16">
        <v>125</v>
      </c>
      <c r="B128" s="23" t="s">
        <v>207</v>
      </c>
      <c r="C128" s="23" t="s">
        <v>208</v>
      </c>
      <c r="D128" s="16">
        <v>357306</v>
      </c>
      <c r="E128" s="23" t="s">
        <v>344</v>
      </c>
      <c r="F128" s="23" t="s">
        <v>31</v>
      </c>
      <c r="G128" s="16" t="s">
        <v>26</v>
      </c>
      <c r="H128" s="24">
        <v>38046</v>
      </c>
      <c r="I128" s="23" t="s">
        <v>269</v>
      </c>
      <c r="J128" s="16" t="s">
        <v>214</v>
      </c>
      <c r="K128" s="25">
        <f>88.24+89.38+88.53</f>
        <v>266.14999999999998</v>
      </c>
      <c r="L128" s="26">
        <f t="shared" si="11"/>
        <v>88.716666666666654</v>
      </c>
      <c r="M128" s="25">
        <v>94.78</v>
      </c>
      <c r="N128" s="25">
        <f t="shared" si="12"/>
        <v>94.78</v>
      </c>
      <c r="O128" s="25">
        <v>280</v>
      </c>
      <c r="P128" s="25">
        <v>79.64</v>
      </c>
      <c r="Q128" s="27">
        <v>44861</v>
      </c>
      <c r="R128" s="23">
        <v>4108040013</v>
      </c>
      <c r="S128" s="23">
        <v>450000</v>
      </c>
    </row>
    <row r="129" spans="1:19" x14ac:dyDescent="0.2">
      <c r="A129" s="16">
        <v>126</v>
      </c>
      <c r="B129" s="23" t="s">
        <v>207</v>
      </c>
      <c r="C129" s="23" t="s">
        <v>208</v>
      </c>
      <c r="D129" s="16">
        <v>334877</v>
      </c>
      <c r="E129" s="23" t="s">
        <v>345</v>
      </c>
      <c r="F129" s="23" t="s">
        <v>25</v>
      </c>
      <c r="G129" s="16" t="s">
        <v>26</v>
      </c>
      <c r="H129" s="24">
        <v>37390</v>
      </c>
      <c r="I129" s="23" t="s">
        <v>212</v>
      </c>
      <c r="J129" s="16" t="s">
        <v>210</v>
      </c>
      <c r="K129" s="30">
        <f>57+56+53</f>
        <v>166</v>
      </c>
      <c r="L129" s="31">
        <f t="shared" si="11"/>
        <v>55.333333333333336</v>
      </c>
      <c r="M129" s="30">
        <v>70</v>
      </c>
      <c r="N129" s="30">
        <f t="shared" si="12"/>
        <v>70</v>
      </c>
      <c r="O129" s="30">
        <v>293</v>
      </c>
      <c r="P129" s="30">
        <v>81.010000000000005</v>
      </c>
      <c r="Q129" s="27">
        <v>44868</v>
      </c>
      <c r="R129" s="23">
        <v>4108060591</v>
      </c>
      <c r="S129" s="23"/>
    </row>
    <row r="130" spans="1:19" x14ac:dyDescent="0.2">
      <c r="A130" s="16">
        <v>127</v>
      </c>
      <c r="B130" s="23" t="s">
        <v>207</v>
      </c>
      <c r="C130" s="23" t="s">
        <v>208</v>
      </c>
      <c r="D130" s="16">
        <v>247238</v>
      </c>
      <c r="E130" s="23" t="s">
        <v>346</v>
      </c>
      <c r="F130" s="23" t="s">
        <v>25</v>
      </c>
      <c r="G130" s="16" t="s">
        <v>26</v>
      </c>
      <c r="H130" s="24">
        <v>38347</v>
      </c>
      <c r="I130" s="23" t="s">
        <v>212</v>
      </c>
      <c r="J130" s="16" t="s">
        <v>222</v>
      </c>
      <c r="K130" s="30">
        <f>99+98+96</f>
        <v>293</v>
      </c>
      <c r="L130" s="31">
        <f t="shared" si="11"/>
        <v>97.666666666666671</v>
      </c>
      <c r="M130" s="30">
        <v>95</v>
      </c>
      <c r="N130" s="30">
        <f t="shared" si="12"/>
        <v>95</v>
      </c>
      <c r="O130" s="30">
        <v>347</v>
      </c>
      <c r="P130" s="30">
        <v>85.98</v>
      </c>
      <c r="Q130" s="27">
        <v>44867</v>
      </c>
      <c r="R130" s="23">
        <v>4122010379</v>
      </c>
      <c r="S130" s="23"/>
    </row>
    <row r="131" spans="1:19" x14ac:dyDescent="0.2">
      <c r="A131" s="16">
        <v>128</v>
      </c>
      <c r="B131" s="23" t="s">
        <v>207</v>
      </c>
      <c r="C131" s="23" t="s">
        <v>208</v>
      </c>
      <c r="D131" s="16">
        <v>186364</v>
      </c>
      <c r="E131" s="23" t="s">
        <v>347</v>
      </c>
      <c r="F131" s="23" t="s">
        <v>25</v>
      </c>
      <c r="G131" s="16" t="s">
        <v>26</v>
      </c>
      <c r="H131" s="24">
        <v>37418</v>
      </c>
      <c r="I131" s="23" t="s">
        <v>212</v>
      </c>
      <c r="J131" s="16" t="s">
        <v>210</v>
      </c>
      <c r="K131" s="30">
        <f>77+92+82</f>
        <v>251</v>
      </c>
      <c r="L131" s="31">
        <f t="shared" si="11"/>
        <v>83.666666666666671</v>
      </c>
      <c r="M131" s="30">
        <v>85</v>
      </c>
      <c r="N131" s="30">
        <f t="shared" si="12"/>
        <v>85</v>
      </c>
      <c r="O131" s="30">
        <v>393</v>
      </c>
      <c r="P131" s="30">
        <v>89.38</v>
      </c>
      <c r="Q131" s="27">
        <v>44868</v>
      </c>
      <c r="R131" s="23">
        <v>4120030718</v>
      </c>
      <c r="S131" s="23"/>
    </row>
    <row r="132" spans="1:19" x14ac:dyDescent="0.2">
      <c r="A132" s="16">
        <v>129</v>
      </c>
      <c r="B132" s="23" t="s">
        <v>207</v>
      </c>
      <c r="C132" s="23" t="s">
        <v>208</v>
      </c>
      <c r="D132" s="16">
        <v>208581</v>
      </c>
      <c r="E132" s="23" t="s">
        <v>348</v>
      </c>
      <c r="F132" s="23" t="s">
        <v>25</v>
      </c>
      <c r="G132" s="16" t="s">
        <v>26</v>
      </c>
      <c r="H132" s="24">
        <v>37960</v>
      </c>
      <c r="I132" s="23" t="s">
        <v>32</v>
      </c>
      <c r="J132" s="16" t="s">
        <v>44</v>
      </c>
      <c r="K132" s="25">
        <f>90.7+87.27+85.27</f>
        <v>263.24</v>
      </c>
      <c r="L132" s="26">
        <f t="shared" si="11"/>
        <v>87.74666666666667</v>
      </c>
      <c r="M132" s="25">
        <v>89.4</v>
      </c>
      <c r="N132" s="25">
        <f t="shared" si="12"/>
        <v>89.4</v>
      </c>
      <c r="O132" s="25">
        <v>375</v>
      </c>
      <c r="P132" s="25">
        <v>88.12</v>
      </c>
      <c r="Q132" s="27">
        <v>44893</v>
      </c>
      <c r="R132" s="23">
        <v>4108050261</v>
      </c>
      <c r="S132" s="23">
        <v>450000</v>
      </c>
    </row>
    <row r="133" spans="1:19" x14ac:dyDescent="0.2">
      <c r="A133" s="16">
        <v>130</v>
      </c>
      <c r="B133" s="23" t="s">
        <v>207</v>
      </c>
      <c r="C133" s="23" t="s">
        <v>208</v>
      </c>
      <c r="D133" s="16">
        <v>708494</v>
      </c>
      <c r="E133" s="23" t="s">
        <v>349</v>
      </c>
      <c r="F133" s="23" t="s">
        <v>31</v>
      </c>
      <c r="G133" s="16" t="s">
        <v>26</v>
      </c>
      <c r="H133" s="24">
        <v>38285</v>
      </c>
      <c r="I133" s="23" t="s">
        <v>212</v>
      </c>
      <c r="J133" s="16" t="s">
        <v>210</v>
      </c>
      <c r="K133" s="25">
        <f>73+80+78</f>
        <v>231</v>
      </c>
      <c r="L133" s="26">
        <f t="shared" si="11"/>
        <v>77</v>
      </c>
      <c r="M133" s="25">
        <v>88</v>
      </c>
      <c r="N133" s="25">
        <f t="shared" si="12"/>
        <v>88</v>
      </c>
      <c r="O133" s="25">
        <v>151</v>
      </c>
      <c r="P133" s="25">
        <v>59.74</v>
      </c>
      <c r="Q133" s="27">
        <v>44893</v>
      </c>
      <c r="R133" s="23">
        <v>4112080218</v>
      </c>
      <c r="S133" s="23"/>
    </row>
    <row r="134" spans="1:19" x14ac:dyDescent="0.2">
      <c r="A134" s="16">
        <v>131</v>
      </c>
      <c r="B134" s="23" t="s">
        <v>207</v>
      </c>
      <c r="C134" s="23" t="s">
        <v>208</v>
      </c>
      <c r="D134" s="16">
        <v>206152</v>
      </c>
      <c r="E134" s="23" t="s">
        <v>350</v>
      </c>
      <c r="F134" s="23" t="s">
        <v>25</v>
      </c>
      <c r="G134" s="16" t="s">
        <v>26</v>
      </c>
      <c r="H134" s="24">
        <v>37977</v>
      </c>
      <c r="I134" s="23" t="s">
        <v>32</v>
      </c>
      <c r="J134" s="16" t="s">
        <v>44</v>
      </c>
      <c r="K134" s="25">
        <f>88+94+87</f>
        <v>269</v>
      </c>
      <c r="L134" s="26">
        <f t="shared" si="11"/>
        <v>89.666666666666657</v>
      </c>
      <c r="M134" s="25">
        <v>93</v>
      </c>
      <c r="N134" s="25">
        <f t="shared" si="12"/>
        <v>93</v>
      </c>
      <c r="O134" s="25">
        <v>377</v>
      </c>
      <c r="P134" s="25">
        <v>88.27</v>
      </c>
      <c r="Q134" s="27">
        <v>44867</v>
      </c>
      <c r="R134" s="23">
        <v>4108010990</v>
      </c>
      <c r="S134" s="23">
        <v>450000</v>
      </c>
    </row>
    <row r="135" spans="1:19" x14ac:dyDescent="0.2">
      <c r="A135" s="16">
        <v>132</v>
      </c>
      <c r="B135" s="23" t="s">
        <v>207</v>
      </c>
      <c r="C135" s="23" t="s">
        <v>208</v>
      </c>
      <c r="D135" s="16">
        <v>362948</v>
      </c>
      <c r="E135" s="23" t="s">
        <v>351</v>
      </c>
      <c r="F135" s="23" t="s">
        <v>31</v>
      </c>
      <c r="G135" s="16" t="s">
        <v>26</v>
      </c>
      <c r="H135" s="27">
        <v>38628</v>
      </c>
      <c r="I135" s="23" t="s">
        <v>269</v>
      </c>
      <c r="J135" s="16" t="s">
        <v>210</v>
      </c>
      <c r="K135" s="25">
        <f>93+100+95</f>
        <v>288</v>
      </c>
      <c r="L135" s="26">
        <f t="shared" si="11"/>
        <v>96</v>
      </c>
      <c r="M135" s="25">
        <v>91</v>
      </c>
      <c r="N135" s="25">
        <f t="shared" si="12"/>
        <v>91</v>
      </c>
      <c r="O135" s="25">
        <v>277</v>
      </c>
      <c r="P135" s="25">
        <v>79.319999999999993</v>
      </c>
      <c r="Q135" s="27">
        <v>44862</v>
      </c>
      <c r="R135" s="23">
        <v>4131040437</v>
      </c>
      <c r="S135" s="23">
        <v>450000</v>
      </c>
    </row>
    <row r="136" spans="1:19" x14ac:dyDescent="0.2">
      <c r="A136" s="16">
        <v>133</v>
      </c>
      <c r="B136" s="23" t="s">
        <v>207</v>
      </c>
      <c r="C136" s="23" t="s">
        <v>208</v>
      </c>
      <c r="D136" s="16">
        <v>202498</v>
      </c>
      <c r="E136" s="23" t="s">
        <v>352</v>
      </c>
      <c r="F136" s="23" t="s">
        <v>25</v>
      </c>
      <c r="G136" s="16" t="s">
        <v>26</v>
      </c>
      <c r="H136" s="24">
        <v>37977</v>
      </c>
      <c r="I136" s="23" t="s">
        <v>32</v>
      </c>
      <c r="J136" s="16" t="s">
        <v>44</v>
      </c>
      <c r="K136" s="25">
        <f>88.21+83.36+83.36</f>
        <v>254.93</v>
      </c>
      <c r="L136" s="26">
        <f t="shared" si="11"/>
        <v>84.976666666666674</v>
      </c>
      <c r="M136" s="25">
        <v>86.94</v>
      </c>
      <c r="N136" s="25">
        <f t="shared" si="12"/>
        <v>86.94</v>
      </c>
      <c r="O136" s="25">
        <v>380</v>
      </c>
      <c r="P136" s="25">
        <v>88.48</v>
      </c>
      <c r="Q136" s="27" t="s">
        <v>328</v>
      </c>
      <c r="R136" s="23">
        <v>4129010337</v>
      </c>
      <c r="S136" s="23">
        <v>450000</v>
      </c>
    </row>
    <row r="137" spans="1:19" x14ac:dyDescent="0.2">
      <c r="A137" s="16">
        <v>134</v>
      </c>
      <c r="B137" s="23" t="s">
        <v>207</v>
      </c>
      <c r="C137" s="23" t="s">
        <v>208</v>
      </c>
      <c r="D137" s="16">
        <v>724257</v>
      </c>
      <c r="E137" s="23" t="s">
        <v>353</v>
      </c>
      <c r="F137" s="23" t="s">
        <v>31</v>
      </c>
      <c r="G137" s="16" t="s">
        <v>26</v>
      </c>
      <c r="H137" s="24">
        <v>38305</v>
      </c>
      <c r="I137" s="23" t="s">
        <v>212</v>
      </c>
      <c r="J137" s="16" t="s">
        <v>214</v>
      </c>
      <c r="K137" s="25">
        <f>81+77+73</f>
        <v>231</v>
      </c>
      <c r="L137" s="26">
        <f t="shared" si="11"/>
        <v>77</v>
      </c>
      <c r="M137" s="25">
        <v>88</v>
      </c>
      <c r="N137" s="25">
        <f t="shared" si="12"/>
        <v>88</v>
      </c>
      <c r="O137" s="25">
        <v>147</v>
      </c>
      <c r="P137" s="25">
        <v>58.76</v>
      </c>
      <c r="Q137" s="27">
        <v>44893</v>
      </c>
      <c r="R137" s="23">
        <v>4129010302</v>
      </c>
      <c r="S137" s="23"/>
    </row>
    <row r="138" spans="1:19" x14ac:dyDescent="0.2">
      <c r="A138" s="16">
        <v>135</v>
      </c>
      <c r="B138" s="23" t="s">
        <v>207</v>
      </c>
      <c r="C138" s="23" t="s">
        <v>208</v>
      </c>
      <c r="D138" s="16">
        <v>89896</v>
      </c>
      <c r="E138" s="23" t="s">
        <v>354</v>
      </c>
      <c r="F138" s="23" t="s">
        <v>31</v>
      </c>
      <c r="G138" s="16" t="s">
        <v>26</v>
      </c>
      <c r="H138" s="24">
        <v>38086</v>
      </c>
      <c r="I138" s="23" t="s">
        <v>32</v>
      </c>
      <c r="J138" s="16" t="s">
        <v>210</v>
      </c>
      <c r="K138" s="25">
        <f>88+95+97</f>
        <v>280</v>
      </c>
      <c r="L138" s="26">
        <f t="shared" si="11"/>
        <v>93.333333333333329</v>
      </c>
      <c r="M138" s="25">
        <v>96</v>
      </c>
      <c r="N138" s="25">
        <f t="shared" si="12"/>
        <v>96</v>
      </c>
      <c r="O138" s="25">
        <v>492</v>
      </c>
      <c r="P138" s="25">
        <v>94.87</v>
      </c>
      <c r="Q138" s="27">
        <v>44894</v>
      </c>
      <c r="R138" s="23">
        <v>4101190557</v>
      </c>
      <c r="S138" s="23">
        <v>450000</v>
      </c>
    </row>
    <row r="139" spans="1:19" x14ac:dyDescent="0.2">
      <c r="A139" s="16">
        <v>136</v>
      </c>
      <c r="B139" s="23" t="s">
        <v>207</v>
      </c>
      <c r="C139" s="23" t="s">
        <v>208</v>
      </c>
      <c r="D139" s="16">
        <v>206132</v>
      </c>
      <c r="E139" s="23" t="s">
        <v>355</v>
      </c>
      <c r="F139" s="23" t="s">
        <v>25</v>
      </c>
      <c r="G139" s="16" t="s">
        <v>26</v>
      </c>
      <c r="H139" s="24">
        <v>36856</v>
      </c>
      <c r="I139" s="23" t="s">
        <v>32</v>
      </c>
      <c r="J139" s="16" t="s">
        <v>44</v>
      </c>
      <c r="K139" s="25">
        <f>79+72+70</f>
        <v>221</v>
      </c>
      <c r="L139" s="26">
        <f t="shared" si="11"/>
        <v>73.666666666666671</v>
      </c>
      <c r="M139" s="25">
        <v>77</v>
      </c>
      <c r="N139" s="25">
        <f t="shared" si="12"/>
        <v>77</v>
      </c>
      <c r="O139" s="25">
        <v>377</v>
      </c>
      <c r="P139" s="25">
        <v>88.27</v>
      </c>
      <c r="Q139" s="27">
        <v>44868</v>
      </c>
      <c r="R139" s="23">
        <v>4131030177</v>
      </c>
      <c r="S139" s="23">
        <v>450000</v>
      </c>
    </row>
    <row r="140" spans="1:19" ht="15.75" x14ac:dyDescent="0.25">
      <c r="A140" s="16">
        <v>137</v>
      </c>
      <c r="B140" s="34" t="s">
        <v>207</v>
      </c>
      <c r="C140" s="34" t="s">
        <v>208</v>
      </c>
      <c r="D140" s="35">
        <v>416709</v>
      </c>
      <c r="E140" s="34" t="s">
        <v>356</v>
      </c>
      <c r="F140" s="34" t="s">
        <v>25</v>
      </c>
      <c r="G140" s="35" t="s">
        <v>26</v>
      </c>
      <c r="H140" s="36">
        <v>38121</v>
      </c>
      <c r="I140" s="34" t="s">
        <v>212</v>
      </c>
      <c r="J140" s="35" t="s">
        <v>210</v>
      </c>
      <c r="K140" s="37">
        <f>93.96+92.24+89.38</f>
        <v>275.58</v>
      </c>
      <c r="L140" s="38">
        <f t="shared" si="11"/>
        <v>91.86</v>
      </c>
      <c r="M140" s="37">
        <v>93</v>
      </c>
      <c r="N140" s="37">
        <f t="shared" si="12"/>
        <v>93</v>
      </c>
      <c r="O140" s="37">
        <v>251</v>
      </c>
      <c r="P140" s="37">
        <v>76.319999999999993</v>
      </c>
      <c r="Q140" s="39">
        <v>44917</v>
      </c>
      <c r="R140" s="34">
        <v>4114040310</v>
      </c>
      <c r="S140" s="23"/>
    </row>
    <row r="141" spans="1:19" ht="15.75" x14ac:dyDescent="0.25">
      <c r="A141" s="16">
        <v>138</v>
      </c>
      <c r="B141" s="34" t="s">
        <v>207</v>
      </c>
      <c r="C141" s="34" t="s">
        <v>208</v>
      </c>
      <c r="D141" s="35">
        <v>794716</v>
      </c>
      <c r="E141" s="34" t="s">
        <v>357</v>
      </c>
      <c r="F141" s="34" t="s">
        <v>31</v>
      </c>
      <c r="G141" s="35" t="s">
        <v>26</v>
      </c>
      <c r="H141" s="36">
        <v>38358</v>
      </c>
      <c r="I141" s="34" t="s">
        <v>212</v>
      </c>
      <c r="J141" s="35" t="s">
        <v>210</v>
      </c>
      <c r="K141" s="37">
        <f>78+88+59</f>
        <v>225</v>
      </c>
      <c r="L141" s="38">
        <f t="shared" si="11"/>
        <v>75</v>
      </c>
      <c r="M141" s="37">
        <v>80</v>
      </c>
      <c r="N141" s="37">
        <f t="shared" si="12"/>
        <v>80</v>
      </c>
      <c r="O141" s="37">
        <v>132</v>
      </c>
      <c r="P141" s="37">
        <v>54.8</v>
      </c>
      <c r="Q141" s="39">
        <v>44921</v>
      </c>
      <c r="R141" s="34">
        <v>4129050248</v>
      </c>
    </row>
    <row r="142" spans="1:19" ht="15.75" x14ac:dyDescent="0.25">
      <c r="A142" s="16">
        <v>139</v>
      </c>
      <c r="B142" s="34" t="s">
        <v>207</v>
      </c>
      <c r="C142" s="34" t="s">
        <v>208</v>
      </c>
      <c r="D142" s="35">
        <v>595597</v>
      </c>
      <c r="E142" s="34" t="s">
        <v>358</v>
      </c>
      <c r="F142" s="34" t="s">
        <v>25</v>
      </c>
      <c r="G142" s="35" t="s">
        <v>26</v>
      </c>
      <c r="H142" s="36">
        <v>37931</v>
      </c>
      <c r="I142" s="34" t="s">
        <v>212</v>
      </c>
      <c r="J142" s="35" t="s">
        <v>44</v>
      </c>
      <c r="K142" s="37">
        <f>54+69+63</f>
        <v>186</v>
      </c>
      <c r="L142" s="38">
        <f t="shared" si="11"/>
        <v>62</v>
      </c>
      <c r="M142" s="37">
        <v>71</v>
      </c>
      <c r="N142" s="37">
        <f t="shared" si="12"/>
        <v>71</v>
      </c>
      <c r="O142" s="37">
        <v>182</v>
      </c>
      <c r="P142" s="37">
        <v>66.099999999999994</v>
      </c>
      <c r="Q142" s="39">
        <v>44918</v>
      </c>
      <c r="R142" s="34">
        <v>4129030217</v>
      </c>
    </row>
    <row r="143" spans="1:19" ht="15.75" x14ac:dyDescent="0.25">
      <c r="A143" s="16">
        <v>140</v>
      </c>
      <c r="B143" s="34" t="s">
        <v>207</v>
      </c>
      <c r="C143" s="34" t="s">
        <v>208</v>
      </c>
      <c r="D143" s="35">
        <v>538313</v>
      </c>
      <c r="E143" s="34" t="s">
        <v>359</v>
      </c>
      <c r="F143" s="34" t="s">
        <v>25</v>
      </c>
      <c r="G143" s="35" t="s">
        <v>26</v>
      </c>
      <c r="H143" s="36">
        <v>37581</v>
      </c>
      <c r="I143" s="34" t="s">
        <v>212</v>
      </c>
      <c r="J143" s="35" t="s">
        <v>44</v>
      </c>
      <c r="K143" s="37">
        <f>81.63+85.63+77.63</f>
        <v>244.89</v>
      </c>
      <c r="L143" s="38">
        <f t="shared" si="11"/>
        <v>81.63</v>
      </c>
      <c r="M143" s="37">
        <v>86.67</v>
      </c>
      <c r="N143" s="37">
        <f t="shared" si="12"/>
        <v>86.67</v>
      </c>
      <c r="O143" s="37">
        <v>201</v>
      </c>
      <c r="P143" s="37">
        <v>69.34</v>
      </c>
      <c r="Q143" s="39">
        <v>44919</v>
      </c>
      <c r="R143" s="34">
        <v>4129030366</v>
      </c>
    </row>
    <row r="144" spans="1:19" ht="15.75" x14ac:dyDescent="0.25">
      <c r="A144" s="16">
        <v>141</v>
      </c>
      <c r="B144" s="34" t="s">
        <v>207</v>
      </c>
      <c r="C144" s="34" t="s">
        <v>208</v>
      </c>
      <c r="D144" s="35">
        <v>904229</v>
      </c>
      <c r="E144" s="34" t="s">
        <v>360</v>
      </c>
      <c r="F144" s="34" t="s">
        <v>31</v>
      </c>
      <c r="G144" s="35" t="s">
        <v>26</v>
      </c>
      <c r="H144" s="36">
        <v>37566</v>
      </c>
      <c r="I144" s="34" t="s">
        <v>212</v>
      </c>
      <c r="J144" s="35" t="s">
        <v>214</v>
      </c>
      <c r="K144" s="37">
        <f>74+65+57</f>
        <v>196</v>
      </c>
      <c r="L144" s="38">
        <f t="shared" si="11"/>
        <v>65.333333333333329</v>
      </c>
      <c r="M144" s="37">
        <v>83</v>
      </c>
      <c r="N144" s="37">
        <f t="shared" si="12"/>
        <v>83</v>
      </c>
      <c r="O144" s="37">
        <v>113</v>
      </c>
      <c r="P144" s="37">
        <v>48.56</v>
      </c>
      <c r="Q144" s="39">
        <v>44918</v>
      </c>
      <c r="R144" s="34">
        <v>4131020069</v>
      </c>
      <c r="S144" s="4" t="s">
        <v>361</v>
      </c>
    </row>
    <row r="145" spans="1:19" ht="15.75" x14ac:dyDescent="0.25">
      <c r="A145" s="16">
        <v>142</v>
      </c>
      <c r="B145" s="34" t="s">
        <v>207</v>
      </c>
      <c r="C145" s="34" t="s">
        <v>208</v>
      </c>
      <c r="D145" s="35">
        <v>1053125</v>
      </c>
      <c r="E145" s="34" t="s">
        <v>362</v>
      </c>
      <c r="F145" s="34" t="s">
        <v>31</v>
      </c>
      <c r="G145" s="35" t="s">
        <v>26</v>
      </c>
      <c r="H145" s="36">
        <v>37267</v>
      </c>
      <c r="I145" s="34" t="s">
        <v>212</v>
      </c>
      <c r="J145" s="35" t="s">
        <v>210</v>
      </c>
      <c r="K145" s="37">
        <f>76+75+78</f>
        <v>229</v>
      </c>
      <c r="L145" s="38">
        <f t="shared" si="11"/>
        <v>76.333333333333329</v>
      </c>
      <c r="M145" s="37">
        <v>80</v>
      </c>
      <c r="N145" s="37">
        <f t="shared" si="12"/>
        <v>80</v>
      </c>
      <c r="O145" s="37">
        <v>93</v>
      </c>
      <c r="P145" s="37">
        <v>40.159999999999997</v>
      </c>
      <c r="Q145" s="39">
        <v>44917</v>
      </c>
      <c r="R145" s="34">
        <v>4102040192</v>
      </c>
      <c r="S145" s="4" t="s">
        <v>361</v>
      </c>
    </row>
    <row r="146" spans="1:19" ht="15.75" x14ac:dyDescent="0.25">
      <c r="A146" s="16">
        <v>143</v>
      </c>
      <c r="B146" s="34" t="s">
        <v>207</v>
      </c>
      <c r="C146" s="34" t="s">
        <v>208</v>
      </c>
      <c r="D146" s="35">
        <v>510531</v>
      </c>
      <c r="E146" s="34" t="s">
        <v>363</v>
      </c>
      <c r="F146" s="34" t="s">
        <v>25</v>
      </c>
      <c r="G146" s="35" t="s">
        <v>26</v>
      </c>
      <c r="H146" s="36">
        <v>37909</v>
      </c>
      <c r="I146" s="34" t="s">
        <v>212</v>
      </c>
      <c r="J146" s="35" t="s">
        <v>214</v>
      </c>
      <c r="K146" s="37">
        <f>86+92+81</f>
        <v>259</v>
      </c>
      <c r="L146" s="38">
        <f t="shared" si="11"/>
        <v>86.333333333333329</v>
      </c>
      <c r="M146" s="37">
        <v>89</v>
      </c>
      <c r="N146" s="37">
        <f t="shared" si="12"/>
        <v>89</v>
      </c>
      <c r="O146" s="37">
        <v>212</v>
      </c>
      <c r="P146" s="37">
        <v>71.05</v>
      </c>
      <c r="Q146" s="39">
        <v>44921</v>
      </c>
      <c r="R146" s="34">
        <v>4122030054</v>
      </c>
      <c r="S146" s="4" t="s">
        <v>361</v>
      </c>
    </row>
    <row r="147" spans="1:19" ht="15.75" x14ac:dyDescent="0.25">
      <c r="A147" s="16">
        <v>144</v>
      </c>
      <c r="B147" s="34" t="s">
        <v>207</v>
      </c>
      <c r="C147" s="34" t="s">
        <v>208</v>
      </c>
      <c r="D147" s="35">
        <v>436197</v>
      </c>
      <c r="E147" s="34" t="s">
        <v>364</v>
      </c>
      <c r="F147" s="34" t="s">
        <v>31</v>
      </c>
      <c r="G147" s="35" t="s">
        <v>26</v>
      </c>
      <c r="H147" s="36">
        <v>37414</v>
      </c>
      <c r="I147" s="34" t="s">
        <v>212</v>
      </c>
      <c r="J147" s="35" t="s">
        <v>210</v>
      </c>
      <c r="K147" s="37">
        <f>82+82+95</f>
        <v>259</v>
      </c>
      <c r="L147" s="38">
        <f t="shared" si="11"/>
        <v>86.333333333333329</v>
      </c>
      <c r="M147" s="37">
        <v>91</v>
      </c>
      <c r="N147" s="37">
        <f t="shared" si="12"/>
        <v>91</v>
      </c>
      <c r="O147" s="37">
        <v>242</v>
      </c>
      <c r="P147" s="37">
        <v>75.180000000000007</v>
      </c>
      <c r="Q147" s="39">
        <v>44917</v>
      </c>
      <c r="R147" s="34">
        <v>4114060235</v>
      </c>
      <c r="S147" s="4" t="s">
        <v>361</v>
      </c>
    </row>
    <row r="148" spans="1:19" ht="15.75" x14ac:dyDescent="0.25">
      <c r="A148" s="16">
        <v>145</v>
      </c>
      <c r="B148" s="34" t="s">
        <v>207</v>
      </c>
      <c r="C148" s="34" t="s">
        <v>208</v>
      </c>
      <c r="D148" s="35">
        <v>667411</v>
      </c>
      <c r="E148" s="34" t="s">
        <v>365</v>
      </c>
      <c r="F148" s="34" t="s">
        <v>31</v>
      </c>
      <c r="G148" s="35" t="s">
        <v>26</v>
      </c>
      <c r="H148" s="36">
        <v>37570</v>
      </c>
      <c r="I148" s="34" t="s">
        <v>212</v>
      </c>
      <c r="J148" s="35" t="s">
        <v>214</v>
      </c>
      <c r="K148" s="37">
        <f>60+60+70+59</f>
        <v>249</v>
      </c>
      <c r="L148" s="38">
        <f>K148/400*100</f>
        <v>62.250000000000007</v>
      </c>
      <c r="M148" s="37">
        <v>78</v>
      </c>
      <c r="N148" s="37">
        <f t="shared" si="12"/>
        <v>78</v>
      </c>
      <c r="O148" s="37">
        <v>161</v>
      </c>
      <c r="P148" s="37">
        <v>61.98</v>
      </c>
      <c r="Q148" s="39">
        <v>44924</v>
      </c>
      <c r="R148" s="34">
        <v>4101030247</v>
      </c>
      <c r="S148" s="4" t="s">
        <v>361</v>
      </c>
    </row>
    <row r="149" spans="1:19" ht="15.75" x14ac:dyDescent="0.25">
      <c r="A149" s="16">
        <v>146</v>
      </c>
      <c r="B149" s="34" t="s">
        <v>207</v>
      </c>
      <c r="C149" s="34" t="s">
        <v>208</v>
      </c>
      <c r="D149" s="35">
        <v>909183</v>
      </c>
      <c r="E149" s="34" t="s">
        <v>366</v>
      </c>
      <c r="F149" s="34" t="s">
        <v>25</v>
      </c>
      <c r="G149" s="35" t="s">
        <v>26</v>
      </c>
      <c r="H149" s="36">
        <v>37934</v>
      </c>
      <c r="I149" s="34" t="s">
        <v>212</v>
      </c>
      <c r="J149" s="35" t="s">
        <v>214</v>
      </c>
      <c r="K149" s="37">
        <f>65+65+66</f>
        <v>196</v>
      </c>
      <c r="L149" s="38">
        <f t="shared" ref="L149:L153" si="13">K149/300*100</f>
        <v>65.333333333333329</v>
      </c>
      <c r="M149" s="37">
        <v>79</v>
      </c>
      <c r="N149" s="37">
        <f t="shared" si="12"/>
        <v>79</v>
      </c>
      <c r="O149" s="37">
        <v>112</v>
      </c>
      <c r="P149" s="37">
        <v>48.24</v>
      </c>
      <c r="Q149" s="39">
        <v>44923</v>
      </c>
      <c r="R149" s="34">
        <v>4129020361</v>
      </c>
      <c r="S149" s="4" t="s">
        <v>361</v>
      </c>
    </row>
    <row r="150" spans="1:19" ht="15.75" x14ac:dyDescent="0.25">
      <c r="A150" s="16">
        <v>147</v>
      </c>
      <c r="B150" s="34" t="s">
        <v>207</v>
      </c>
      <c r="C150" s="34" t="s">
        <v>208</v>
      </c>
      <c r="D150" s="35">
        <v>65825</v>
      </c>
      <c r="E150" s="34" t="s">
        <v>367</v>
      </c>
      <c r="F150" s="34" t="s">
        <v>25</v>
      </c>
      <c r="G150" s="35" t="s">
        <v>26</v>
      </c>
      <c r="H150" s="36">
        <v>37611</v>
      </c>
      <c r="I150" s="34" t="s">
        <v>212</v>
      </c>
      <c r="J150" s="35" t="s">
        <v>44</v>
      </c>
      <c r="K150" s="37">
        <f>56+60+62</f>
        <v>178</v>
      </c>
      <c r="L150" s="38">
        <f t="shared" si="13"/>
        <v>59.333333333333336</v>
      </c>
      <c r="M150" s="37">
        <v>85</v>
      </c>
      <c r="N150" s="37">
        <f t="shared" si="12"/>
        <v>85</v>
      </c>
      <c r="O150" s="37">
        <v>186</v>
      </c>
      <c r="P150" s="37">
        <v>66.819999999999993</v>
      </c>
      <c r="Q150" s="39">
        <v>44921</v>
      </c>
      <c r="R150" s="34">
        <v>4106030556</v>
      </c>
      <c r="S150" s="4" t="s">
        <v>361</v>
      </c>
    </row>
    <row r="151" spans="1:19" ht="15.75" x14ac:dyDescent="0.25">
      <c r="A151" s="16">
        <v>148</v>
      </c>
      <c r="B151" s="34" t="s">
        <v>207</v>
      </c>
      <c r="C151" s="34" t="s">
        <v>208</v>
      </c>
      <c r="D151" s="35">
        <v>397511</v>
      </c>
      <c r="E151" s="34" t="s">
        <v>368</v>
      </c>
      <c r="F151" s="34" t="s">
        <v>31</v>
      </c>
      <c r="G151" s="35" t="s">
        <v>26</v>
      </c>
      <c r="H151" s="36">
        <v>38009</v>
      </c>
      <c r="I151" s="34" t="s">
        <v>212</v>
      </c>
      <c r="J151" s="35" t="s">
        <v>210</v>
      </c>
      <c r="K151" s="37">
        <f>91+91+95</f>
        <v>277</v>
      </c>
      <c r="L151" s="38">
        <f t="shared" si="13"/>
        <v>92.333333333333329</v>
      </c>
      <c r="M151" s="37">
        <v>90</v>
      </c>
      <c r="N151" s="37">
        <f t="shared" si="12"/>
        <v>90</v>
      </c>
      <c r="O151" s="37">
        <v>260</v>
      </c>
      <c r="P151" s="37">
        <v>77.39</v>
      </c>
      <c r="Q151" s="39">
        <v>44923</v>
      </c>
      <c r="R151" s="34">
        <v>4104010044</v>
      </c>
      <c r="S151" s="4" t="s">
        <v>361</v>
      </c>
    </row>
    <row r="152" spans="1:19" ht="15.75" x14ac:dyDescent="0.25">
      <c r="A152" s="16">
        <v>149</v>
      </c>
      <c r="B152" s="34" t="s">
        <v>207</v>
      </c>
      <c r="C152" s="34" t="s">
        <v>208</v>
      </c>
      <c r="D152" s="35">
        <v>982992</v>
      </c>
      <c r="E152" s="34" t="s">
        <v>369</v>
      </c>
      <c r="F152" s="34" t="s">
        <v>31</v>
      </c>
      <c r="G152" s="35" t="s">
        <v>26</v>
      </c>
      <c r="H152" s="36">
        <v>38301</v>
      </c>
      <c r="I152" s="34" t="s">
        <v>212</v>
      </c>
      <c r="J152" s="35" t="s">
        <v>210</v>
      </c>
      <c r="K152" s="37">
        <f>54+58+61</f>
        <v>173</v>
      </c>
      <c r="L152" s="38">
        <f t="shared" si="13"/>
        <v>57.666666666666664</v>
      </c>
      <c r="M152" s="37">
        <v>73</v>
      </c>
      <c r="N152" s="37">
        <f t="shared" si="12"/>
        <v>73</v>
      </c>
      <c r="O152" s="37">
        <v>102</v>
      </c>
      <c r="P152" s="37">
        <v>44.26</v>
      </c>
      <c r="Q152" s="39">
        <v>44923</v>
      </c>
      <c r="R152" s="34">
        <v>4129030416</v>
      </c>
      <c r="S152" s="4" t="s">
        <v>361</v>
      </c>
    </row>
    <row r="153" spans="1:19" ht="15.75" x14ac:dyDescent="0.25">
      <c r="A153" s="16">
        <v>150</v>
      </c>
      <c r="B153" s="34" t="s">
        <v>207</v>
      </c>
      <c r="C153" s="34" t="s">
        <v>208</v>
      </c>
      <c r="D153" s="35">
        <v>520904</v>
      </c>
      <c r="E153" s="34" t="s">
        <v>370</v>
      </c>
      <c r="F153" s="34" t="s">
        <v>31</v>
      </c>
      <c r="G153" s="35" t="s">
        <v>26</v>
      </c>
      <c r="H153" s="36">
        <v>38421</v>
      </c>
      <c r="I153" s="34" t="s">
        <v>212</v>
      </c>
      <c r="J153" s="35" t="s">
        <v>371</v>
      </c>
      <c r="K153" s="37">
        <f>61+74+68</f>
        <v>203</v>
      </c>
      <c r="L153" s="38">
        <f t="shared" si="13"/>
        <v>67.666666666666657</v>
      </c>
      <c r="M153" s="37">
        <v>87</v>
      </c>
      <c r="N153" s="37">
        <f t="shared" si="12"/>
        <v>87</v>
      </c>
      <c r="O153" s="37">
        <v>208</v>
      </c>
      <c r="P153" s="37">
        <v>70.430000000000007</v>
      </c>
      <c r="Q153" s="39">
        <v>44924</v>
      </c>
      <c r="R153" s="34">
        <v>4101270122</v>
      </c>
      <c r="S153" s="4" t="s">
        <v>361</v>
      </c>
    </row>
    <row r="154" spans="1:19" s="28" customFormat="1" ht="15.75" x14ac:dyDescent="0.25">
      <c r="S154" s="40"/>
    </row>
    <row r="155" spans="1:19" s="28" customFormat="1" ht="15.75" x14ac:dyDescent="0.25">
      <c r="S155" s="40"/>
    </row>
    <row r="156" spans="1:19" s="28" customFormat="1" ht="15.75" x14ac:dyDescent="0.25">
      <c r="S156" s="40"/>
    </row>
    <row r="157" spans="1:19" s="28" customFormat="1" ht="15.75" x14ac:dyDescent="0.25">
      <c r="S157" s="40"/>
    </row>
    <row r="158" spans="1:19" s="28" customFormat="1" ht="15.75" x14ac:dyDescent="0.25">
      <c r="S158" s="40"/>
    </row>
    <row r="159" spans="1:19" s="28" customFormat="1" ht="15.75" x14ac:dyDescent="0.25">
      <c r="S159" s="40"/>
    </row>
    <row r="160" spans="1:19" s="28" customFormat="1" ht="15.75" x14ac:dyDescent="0.25">
      <c r="S160" s="40"/>
    </row>
    <row r="161" spans="2:19" s="28" customFormat="1" ht="15.75" x14ac:dyDescent="0.25"/>
    <row r="162" spans="2:19" s="28" customFormat="1" ht="15.75" x14ac:dyDescent="0.25"/>
    <row r="163" spans="2:19" s="28" customFormat="1" ht="15.75" x14ac:dyDescent="0.25"/>
    <row r="164" spans="2:19" s="28" customFormat="1" ht="15.75" x14ac:dyDescent="0.25"/>
    <row r="165" spans="2:19" s="28" customFormat="1" ht="15.75" x14ac:dyDescent="0.25"/>
    <row r="166" spans="2:19" s="28" customFormat="1" ht="15.75" x14ac:dyDescent="0.25"/>
    <row r="172" spans="2:19" s="4" customFormat="1" ht="15.75" x14ac:dyDescent="0.25">
      <c r="B172" s="35">
        <v>1</v>
      </c>
      <c r="C172" s="34" t="s">
        <v>207</v>
      </c>
      <c r="D172" s="34" t="s">
        <v>208</v>
      </c>
      <c r="E172" s="35">
        <v>416709</v>
      </c>
      <c r="F172" s="34" t="s">
        <v>356</v>
      </c>
      <c r="G172" s="34" t="s">
        <v>25</v>
      </c>
      <c r="H172" s="35" t="s">
        <v>26</v>
      </c>
      <c r="I172" s="36">
        <v>38121</v>
      </c>
      <c r="J172" s="34" t="s">
        <v>212</v>
      </c>
      <c r="K172" s="35" t="s">
        <v>210</v>
      </c>
      <c r="L172" s="37">
        <f>93.96+92.24+89.38</f>
        <v>275.58</v>
      </c>
      <c r="M172" s="38">
        <f t="shared" ref="M172:M179" si="14">L172/300*100</f>
        <v>91.86</v>
      </c>
      <c r="N172" s="37">
        <v>93</v>
      </c>
      <c r="O172" s="37">
        <f t="shared" ref="O172:O185" si="15">N172/100*100</f>
        <v>93</v>
      </c>
      <c r="P172" s="37">
        <v>251</v>
      </c>
      <c r="Q172" s="37">
        <v>76.319999999999993</v>
      </c>
      <c r="R172" s="39">
        <v>44917</v>
      </c>
      <c r="S172" s="34">
        <v>4114040310</v>
      </c>
    </row>
    <row r="173" spans="2:19" s="4" customFormat="1" ht="15.75" x14ac:dyDescent="0.25">
      <c r="B173" s="35">
        <v>2</v>
      </c>
      <c r="C173" s="34" t="s">
        <v>207</v>
      </c>
      <c r="D173" s="34" t="s">
        <v>208</v>
      </c>
      <c r="E173" s="35">
        <v>794716</v>
      </c>
      <c r="F173" s="34" t="s">
        <v>357</v>
      </c>
      <c r="G173" s="34" t="s">
        <v>31</v>
      </c>
      <c r="H173" s="35" t="s">
        <v>26</v>
      </c>
      <c r="I173" s="36">
        <v>38358</v>
      </c>
      <c r="J173" s="34" t="s">
        <v>212</v>
      </c>
      <c r="K173" s="35" t="s">
        <v>210</v>
      </c>
      <c r="L173" s="37">
        <f>78+88+59</f>
        <v>225</v>
      </c>
      <c r="M173" s="38">
        <f t="shared" si="14"/>
        <v>75</v>
      </c>
      <c r="N173" s="37">
        <v>80</v>
      </c>
      <c r="O173" s="37">
        <f t="shared" si="15"/>
        <v>80</v>
      </c>
      <c r="P173" s="37">
        <v>132</v>
      </c>
      <c r="Q173" s="37">
        <v>54.8</v>
      </c>
      <c r="R173" s="39">
        <v>44921</v>
      </c>
      <c r="S173" s="34">
        <v>4129050248</v>
      </c>
    </row>
    <row r="174" spans="2:19" s="4" customFormat="1" ht="15.75" x14ac:dyDescent="0.25">
      <c r="B174" s="35">
        <v>3</v>
      </c>
      <c r="C174" s="34" t="s">
        <v>207</v>
      </c>
      <c r="D174" s="34" t="s">
        <v>208</v>
      </c>
      <c r="E174" s="35">
        <v>595597</v>
      </c>
      <c r="F174" s="34" t="s">
        <v>358</v>
      </c>
      <c r="G174" s="34" t="s">
        <v>25</v>
      </c>
      <c r="H174" s="35" t="s">
        <v>26</v>
      </c>
      <c r="I174" s="36">
        <v>37931</v>
      </c>
      <c r="J174" s="34" t="s">
        <v>212</v>
      </c>
      <c r="K174" s="35" t="s">
        <v>44</v>
      </c>
      <c r="L174" s="37">
        <f>54+69+63</f>
        <v>186</v>
      </c>
      <c r="M174" s="38">
        <f t="shared" si="14"/>
        <v>62</v>
      </c>
      <c r="N174" s="37">
        <v>71</v>
      </c>
      <c r="O174" s="37">
        <f t="shared" si="15"/>
        <v>71</v>
      </c>
      <c r="P174" s="37">
        <v>182</v>
      </c>
      <c r="Q174" s="37">
        <v>66.099999999999994</v>
      </c>
      <c r="R174" s="39">
        <v>44918</v>
      </c>
      <c r="S174" s="34">
        <v>4129030217</v>
      </c>
    </row>
    <row r="175" spans="2:19" s="4" customFormat="1" ht="15.75" x14ac:dyDescent="0.25">
      <c r="B175" s="35">
        <v>4</v>
      </c>
      <c r="C175" s="34" t="s">
        <v>207</v>
      </c>
      <c r="D175" s="34" t="s">
        <v>208</v>
      </c>
      <c r="E175" s="35">
        <v>538313</v>
      </c>
      <c r="F175" s="34" t="s">
        <v>359</v>
      </c>
      <c r="G175" s="34" t="s">
        <v>25</v>
      </c>
      <c r="H175" s="35" t="s">
        <v>26</v>
      </c>
      <c r="I175" s="36">
        <v>37581</v>
      </c>
      <c r="J175" s="34" t="s">
        <v>212</v>
      </c>
      <c r="K175" s="35" t="s">
        <v>44</v>
      </c>
      <c r="L175" s="37">
        <f>81.63+85.63+77.63</f>
        <v>244.89</v>
      </c>
      <c r="M175" s="38">
        <f t="shared" si="14"/>
        <v>81.63</v>
      </c>
      <c r="N175" s="37">
        <v>86.67</v>
      </c>
      <c r="O175" s="37">
        <f t="shared" si="15"/>
        <v>86.67</v>
      </c>
      <c r="P175" s="37">
        <v>201</v>
      </c>
      <c r="Q175" s="37">
        <v>69.34</v>
      </c>
      <c r="R175" s="39">
        <v>44919</v>
      </c>
      <c r="S175" s="34">
        <v>4129030366</v>
      </c>
    </row>
    <row r="176" spans="2:19" s="4" customFormat="1" ht="15.75" x14ac:dyDescent="0.25">
      <c r="B176" s="35">
        <v>5</v>
      </c>
      <c r="C176" s="34" t="s">
        <v>207</v>
      </c>
      <c r="D176" s="34" t="s">
        <v>208</v>
      </c>
      <c r="E176" s="35">
        <v>904229</v>
      </c>
      <c r="F176" s="34" t="s">
        <v>360</v>
      </c>
      <c r="G176" s="34" t="s">
        <v>31</v>
      </c>
      <c r="H176" s="35" t="s">
        <v>26</v>
      </c>
      <c r="I176" s="36">
        <v>37566</v>
      </c>
      <c r="J176" s="34" t="s">
        <v>212</v>
      </c>
      <c r="K176" s="35" t="s">
        <v>214</v>
      </c>
      <c r="L176" s="37">
        <f>74+65+57</f>
        <v>196</v>
      </c>
      <c r="M176" s="38">
        <f t="shared" si="14"/>
        <v>65.333333333333329</v>
      </c>
      <c r="N176" s="37">
        <v>83</v>
      </c>
      <c r="O176" s="37">
        <f t="shared" si="15"/>
        <v>83</v>
      </c>
      <c r="P176" s="37">
        <v>113</v>
      </c>
      <c r="Q176" s="37">
        <v>48.56</v>
      </c>
      <c r="R176" s="39">
        <v>44918</v>
      </c>
      <c r="S176" s="34">
        <v>4131020069</v>
      </c>
    </row>
    <row r="177" spans="2:19" s="4" customFormat="1" ht="15.75" x14ac:dyDescent="0.25">
      <c r="B177" s="35">
        <v>6</v>
      </c>
      <c r="C177" s="34" t="s">
        <v>207</v>
      </c>
      <c r="D177" s="34" t="s">
        <v>208</v>
      </c>
      <c r="E177" s="35">
        <v>1053125</v>
      </c>
      <c r="F177" s="34" t="s">
        <v>362</v>
      </c>
      <c r="G177" s="34" t="s">
        <v>31</v>
      </c>
      <c r="H177" s="35" t="s">
        <v>26</v>
      </c>
      <c r="I177" s="36">
        <v>37267</v>
      </c>
      <c r="J177" s="34" t="s">
        <v>212</v>
      </c>
      <c r="K177" s="35" t="s">
        <v>210</v>
      </c>
      <c r="L177" s="37">
        <f>76+75+78</f>
        <v>229</v>
      </c>
      <c r="M177" s="38">
        <f t="shared" si="14"/>
        <v>76.333333333333329</v>
      </c>
      <c r="N177" s="37">
        <v>80</v>
      </c>
      <c r="O177" s="37">
        <f t="shared" si="15"/>
        <v>80</v>
      </c>
      <c r="P177" s="37">
        <v>93</v>
      </c>
      <c r="Q177" s="37">
        <v>40.159999999999997</v>
      </c>
      <c r="R177" s="39">
        <v>44917</v>
      </c>
      <c r="S177" s="34">
        <v>4102040192</v>
      </c>
    </row>
    <row r="178" spans="2:19" s="4" customFormat="1" ht="15.75" x14ac:dyDescent="0.25">
      <c r="B178" s="35">
        <v>7</v>
      </c>
      <c r="C178" s="34" t="s">
        <v>207</v>
      </c>
      <c r="D178" s="34" t="s">
        <v>208</v>
      </c>
      <c r="E178" s="35">
        <v>510531</v>
      </c>
      <c r="F178" s="34" t="s">
        <v>363</v>
      </c>
      <c r="G178" s="34" t="s">
        <v>25</v>
      </c>
      <c r="H178" s="35" t="s">
        <v>26</v>
      </c>
      <c r="I178" s="36">
        <v>37909</v>
      </c>
      <c r="J178" s="34" t="s">
        <v>212</v>
      </c>
      <c r="K178" s="35" t="s">
        <v>214</v>
      </c>
      <c r="L178" s="37">
        <f>86+92+81</f>
        <v>259</v>
      </c>
      <c r="M178" s="38">
        <f t="shared" si="14"/>
        <v>86.333333333333329</v>
      </c>
      <c r="N178" s="37">
        <v>89</v>
      </c>
      <c r="O178" s="37">
        <f t="shared" si="15"/>
        <v>89</v>
      </c>
      <c r="P178" s="37">
        <v>212</v>
      </c>
      <c r="Q178" s="37">
        <v>71.05</v>
      </c>
      <c r="R178" s="39">
        <v>44921</v>
      </c>
      <c r="S178" s="34">
        <v>4122030054</v>
      </c>
    </row>
    <row r="179" spans="2:19" s="4" customFormat="1" ht="15.75" x14ac:dyDescent="0.25">
      <c r="B179" s="35">
        <v>8</v>
      </c>
      <c r="C179" s="34" t="s">
        <v>207</v>
      </c>
      <c r="D179" s="34" t="s">
        <v>208</v>
      </c>
      <c r="E179" s="35">
        <v>436197</v>
      </c>
      <c r="F179" s="34" t="s">
        <v>364</v>
      </c>
      <c r="G179" s="34" t="s">
        <v>31</v>
      </c>
      <c r="H179" s="35" t="s">
        <v>26</v>
      </c>
      <c r="I179" s="36">
        <v>37414</v>
      </c>
      <c r="J179" s="34" t="s">
        <v>212</v>
      </c>
      <c r="K179" s="35" t="s">
        <v>210</v>
      </c>
      <c r="L179" s="37">
        <f>82+82+95</f>
        <v>259</v>
      </c>
      <c r="M179" s="38">
        <f t="shared" si="14"/>
        <v>86.333333333333329</v>
      </c>
      <c r="N179" s="37">
        <v>91</v>
      </c>
      <c r="O179" s="37">
        <f t="shared" si="15"/>
        <v>91</v>
      </c>
      <c r="P179" s="37">
        <v>242</v>
      </c>
      <c r="Q179" s="37">
        <v>75.180000000000007</v>
      </c>
      <c r="R179" s="39">
        <v>44917</v>
      </c>
      <c r="S179" s="34">
        <v>4114060235</v>
      </c>
    </row>
    <row r="180" spans="2:19" s="4" customFormat="1" ht="15.75" x14ac:dyDescent="0.25">
      <c r="B180" s="35">
        <v>9</v>
      </c>
      <c r="C180" s="28"/>
      <c r="D180" s="28"/>
      <c r="E180" s="2">
        <v>667411</v>
      </c>
      <c r="F180" s="28" t="s">
        <v>365</v>
      </c>
      <c r="G180" s="34" t="s">
        <v>31</v>
      </c>
      <c r="H180" s="35" t="s">
        <v>26</v>
      </c>
      <c r="I180" s="36">
        <v>37570</v>
      </c>
      <c r="J180" s="34" t="s">
        <v>212</v>
      </c>
      <c r="K180" s="35" t="s">
        <v>214</v>
      </c>
      <c r="L180" s="37">
        <f>60+60+70+59</f>
        <v>249</v>
      </c>
      <c r="M180" s="38">
        <f>L180/400*100</f>
        <v>62.250000000000007</v>
      </c>
      <c r="N180" s="37">
        <v>78</v>
      </c>
      <c r="O180" s="37">
        <f t="shared" si="15"/>
        <v>78</v>
      </c>
      <c r="P180" s="37">
        <v>161</v>
      </c>
      <c r="Q180" s="37">
        <v>61.98</v>
      </c>
      <c r="R180" s="39">
        <v>44924</v>
      </c>
      <c r="S180" s="34">
        <v>4101030247</v>
      </c>
    </row>
    <row r="181" spans="2:19" s="4" customFormat="1" ht="15.75" x14ac:dyDescent="0.25">
      <c r="B181" s="35">
        <v>10</v>
      </c>
      <c r="C181" s="28"/>
      <c r="D181" s="28"/>
      <c r="E181" s="2">
        <v>909183</v>
      </c>
      <c r="F181" s="28" t="s">
        <v>366</v>
      </c>
      <c r="G181" s="34" t="s">
        <v>25</v>
      </c>
      <c r="H181" s="35" t="s">
        <v>26</v>
      </c>
      <c r="I181" s="36">
        <v>37934</v>
      </c>
      <c r="J181" s="34" t="s">
        <v>212</v>
      </c>
      <c r="K181" s="35" t="s">
        <v>214</v>
      </c>
      <c r="L181" s="37">
        <f>65+65+66</f>
        <v>196</v>
      </c>
      <c r="M181" s="38">
        <f>L181/300*100</f>
        <v>65.333333333333329</v>
      </c>
      <c r="N181" s="37">
        <v>79</v>
      </c>
      <c r="O181" s="37">
        <f t="shared" si="15"/>
        <v>79</v>
      </c>
      <c r="P181" s="37">
        <v>112</v>
      </c>
      <c r="Q181" s="37">
        <v>48.24</v>
      </c>
      <c r="R181" s="39">
        <v>44923</v>
      </c>
      <c r="S181" s="34">
        <v>4129020361</v>
      </c>
    </row>
    <row r="182" spans="2:19" s="4" customFormat="1" ht="15.75" x14ac:dyDescent="0.25">
      <c r="B182" s="35">
        <v>11</v>
      </c>
      <c r="C182" s="28"/>
      <c r="D182" s="28"/>
      <c r="E182" s="2">
        <v>65825</v>
      </c>
      <c r="F182" s="28" t="s">
        <v>367</v>
      </c>
      <c r="G182" s="34" t="s">
        <v>25</v>
      </c>
      <c r="H182" s="35" t="s">
        <v>26</v>
      </c>
      <c r="I182" s="36">
        <v>37611</v>
      </c>
      <c r="J182" s="34" t="s">
        <v>212</v>
      </c>
      <c r="K182" s="35" t="s">
        <v>44</v>
      </c>
      <c r="L182" s="37">
        <f>56+60+62</f>
        <v>178</v>
      </c>
      <c r="M182" s="38">
        <f>L182/300*100</f>
        <v>59.333333333333336</v>
      </c>
      <c r="N182" s="37">
        <v>85</v>
      </c>
      <c r="O182" s="37">
        <f t="shared" si="15"/>
        <v>85</v>
      </c>
      <c r="P182" s="37">
        <v>186</v>
      </c>
      <c r="Q182" s="37">
        <v>66.819999999999993</v>
      </c>
      <c r="R182" s="39">
        <v>44921</v>
      </c>
      <c r="S182" s="34">
        <v>4106030556</v>
      </c>
    </row>
    <row r="183" spans="2:19" s="4" customFormat="1" ht="15.75" x14ac:dyDescent="0.25">
      <c r="B183" s="35">
        <v>12</v>
      </c>
      <c r="C183" s="28"/>
      <c r="D183" s="28"/>
      <c r="E183" s="2">
        <v>397511</v>
      </c>
      <c r="F183" s="28" t="s">
        <v>368</v>
      </c>
      <c r="G183" s="34" t="s">
        <v>31</v>
      </c>
      <c r="H183" s="35" t="s">
        <v>26</v>
      </c>
      <c r="I183" s="36">
        <v>38009</v>
      </c>
      <c r="J183" s="34" t="s">
        <v>212</v>
      </c>
      <c r="K183" s="35" t="s">
        <v>210</v>
      </c>
      <c r="L183" s="37">
        <f>91+91+95</f>
        <v>277</v>
      </c>
      <c r="M183" s="38">
        <f>L183/300*100</f>
        <v>92.333333333333329</v>
      </c>
      <c r="N183" s="37">
        <v>90</v>
      </c>
      <c r="O183" s="37">
        <f t="shared" si="15"/>
        <v>90</v>
      </c>
      <c r="P183" s="37">
        <v>260</v>
      </c>
      <c r="Q183" s="37">
        <v>77.39</v>
      </c>
      <c r="R183" s="39">
        <v>44923</v>
      </c>
      <c r="S183" s="34">
        <v>4104010044</v>
      </c>
    </row>
    <row r="184" spans="2:19" s="4" customFormat="1" ht="15.75" x14ac:dyDescent="0.25">
      <c r="B184" s="35">
        <v>13</v>
      </c>
      <c r="C184" s="28"/>
      <c r="D184" s="28"/>
      <c r="E184" s="2">
        <v>982992</v>
      </c>
      <c r="F184" s="28" t="s">
        <v>369</v>
      </c>
      <c r="G184" s="34" t="s">
        <v>31</v>
      </c>
      <c r="H184" s="35" t="s">
        <v>26</v>
      </c>
      <c r="I184" s="36">
        <v>38301</v>
      </c>
      <c r="J184" s="34" t="s">
        <v>212</v>
      </c>
      <c r="K184" s="35" t="s">
        <v>210</v>
      </c>
      <c r="L184" s="37">
        <f>54+58+61</f>
        <v>173</v>
      </c>
      <c r="M184" s="38">
        <f>L184/300*100</f>
        <v>57.666666666666664</v>
      </c>
      <c r="N184" s="37">
        <v>73</v>
      </c>
      <c r="O184" s="37">
        <f t="shared" si="15"/>
        <v>73</v>
      </c>
      <c r="P184" s="37">
        <v>102</v>
      </c>
      <c r="Q184" s="37">
        <v>44.26</v>
      </c>
      <c r="R184" s="39">
        <v>44923</v>
      </c>
      <c r="S184" s="34">
        <v>4129030416</v>
      </c>
    </row>
    <row r="185" spans="2:19" s="4" customFormat="1" ht="15.75" x14ac:dyDescent="0.25">
      <c r="B185" s="35">
        <v>14</v>
      </c>
      <c r="C185" s="28"/>
      <c r="D185" s="28"/>
      <c r="E185" s="2">
        <v>520904</v>
      </c>
      <c r="F185" s="28" t="s">
        <v>370</v>
      </c>
      <c r="G185" s="34" t="s">
        <v>31</v>
      </c>
      <c r="H185" s="35" t="s">
        <v>26</v>
      </c>
      <c r="I185" s="36">
        <v>38421</v>
      </c>
      <c r="J185" s="34" t="s">
        <v>212</v>
      </c>
      <c r="K185" s="35" t="s">
        <v>371</v>
      </c>
      <c r="L185" s="37">
        <f>61+74+68</f>
        <v>203</v>
      </c>
      <c r="M185" s="38">
        <f>L185/300*100</f>
        <v>67.666666666666657</v>
      </c>
      <c r="N185" s="37">
        <v>87</v>
      </c>
      <c r="O185" s="37">
        <f t="shared" si="15"/>
        <v>87</v>
      </c>
      <c r="P185" s="37">
        <v>208</v>
      </c>
      <c r="Q185" s="37">
        <v>70.430000000000007</v>
      </c>
      <c r="R185" s="39">
        <v>44924</v>
      </c>
      <c r="S185" s="34">
        <v>4101270122</v>
      </c>
    </row>
  </sheetData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topLeftCell="A37" workbookViewId="0">
      <selection activeCell="E6" sqref="E6"/>
    </sheetView>
  </sheetViews>
  <sheetFormatPr defaultRowHeight="55.5" customHeight="1" x14ac:dyDescent="0.25"/>
  <cols>
    <col min="1" max="1" width="7.42578125" customWidth="1"/>
    <col min="2" max="2" width="17.85546875" bestFit="1" customWidth="1"/>
    <col min="3" max="3" width="15.5703125" bestFit="1" customWidth="1"/>
    <col min="4" max="4" width="36.140625" customWidth="1"/>
    <col min="5" max="5" width="13.140625" bestFit="1" customWidth="1"/>
    <col min="6" max="7" width="13.140625" customWidth="1"/>
    <col min="8" max="8" width="17.85546875" bestFit="1" customWidth="1"/>
    <col min="9" max="9" width="20.140625" customWidth="1"/>
    <col min="10" max="10" width="13.42578125" bestFit="1" customWidth="1"/>
    <col min="11" max="11" width="33.5703125" customWidth="1"/>
    <col min="12" max="12" width="30.140625" customWidth="1"/>
    <col min="13" max="13" width="28.28515625" customWidth="1"/>
    <col min="14" max="14" width="28.28515625" bestFit="1" customWidth="1"/>
    <col min="15" max="15" width="26" customWidth="1"/>
    <col min="16" max="16" width="9.140625" hidden="1" customWidth="1"/>
  </cols>
  <sheetData>
    <row r="1" spans="1:16" ht="105" customHeight="1" x14ac:dyDescent="0.25">
      <c r="A1" s="44" t="s">
        <v>372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35.25" customHeight="1" x14ac:dyDescent="0.25">
      <c r="A2" s="45" t="s">
        <v>373</v>
      </c>
      <c r="B2" s="45"/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55.5" customHeight="1" x14ac:dyDescent="0.25">
      <c r="A3" s="47" t="s">
        <v>374</v>
      </c>
      <c r="B3" s="47" t="s">
        <v>375</v>
      </c>
      <c r="C3" s="47" t="s">
        <v>376</v>
      </c>
      <c r="D3" s="47" t="s">
        <v>377</v>
      </c>
      <c r="E3" s="47" t="s">
        <v>378</v>
      </c>
      <c r="F3" s="47" t="s">
        <v>379</v>
      </c>
      <c r="G3" s="47" t="s">
        <v>380</v>
      </c>
      <c r="H3" s="47" t="s">
        <v>381</v>
      </c>
      <c r="I3" s="48" t="s">
        <v>382</v>
      </c>
      <c r="J3" s="47" t="s">
        <v>383</v>
      </c>
      <c r="K3" s="47" t="s">
        <v>384</v>
      </c>
      <c r="L3" s="47" t="s">
        <v>385</v>
      </c>
      <c r="M3" s="47" t="s">
        <v>386</v>
      </c>
      <c r="N3" s="47" t="s">
        <v>387</v>
      </c>
      <c r="O3" s="47" t="s">
        <v>388</v>
      </c>
      <c r="P3" s="49"/>
    </row>
    <row r="4" spans="1:16" ht="55.5" customHeight="1" x14ac:dyDescent="0.3">
      <c r="A4" s="50">
        <v>1</v>
      </c>
      <c r="B4" s="51">
        <v>520023510001</v>
      </c>
      <c r="C4" s="50" t="s">
        <v>389</v>
      </c>
      <c r="D4" s="52" t="s">
        <v>390</v>
      </c>
      <c r="E4" s="53" t="s">
        <v>391</v>
      </c>
      <c r="F4" s="54">
        <v>45170</v>
      </c>
      <c r="G4" s="53">
        <v>531</v>
      </c>
      <c r="H4" s="53" t="s">
        <v>392</v>
      </c>
      <c r="I4" s="53" t="s">
        <v>210</v>
      </c>
      <c r="J4" s="54">
        <v>38169</v>
      </c>
      <c r="K4" s="52" t="s">
        <v>393</v>
      </c>
      <c r="L4" s="52" t="s">
        <v>394</v>
      </c>
      <c r="M4" s="52">
        <v>7418482857</v>
      </c>
      <c r="N4" s="52">
        <v>9786732857</v>
      </c>
      <c r="O4" s="52">
        <v>9787427086</v>
      </c>
      <c r="P4" s="49"/>
    </row>
    <row r="5" spans="1:16" ht="55.5" customHeight="1" x14ac:dyDescent="0.3">
      <c r="A5" s="50">
        <v>2</v>
      </c>
      <c r="B5" s="51">
        <v>520023510002</v>
      </c>
      <c r="C5" s="50" t="s">
        <v>395</v>
      </c>
      <c r="D5" s="52" t="s">
        <v>396</v>
      </c>
      <c r="E5" s="53" t="s">
        <v>397</v>
      </c>
      <c r="F5" s="54">
        <v>45147</v>
      </c>
      <c r="G5" s="53">
        <v>547</v>
      </c>
      <c r="H5" s="53" t="s">
        <v>392</v>
      </c>
      <c r="I5" s="53" t="s">
        <v>222</v>
      </c>
      <c r="J5" s="54">
        <v>38358</v>
      </c>
      <c r="K5" s="52" t="s">
        <v>398</v>
      </c>
      <c r="L5" s="52" t="s">
        <v>399</v>
      </c>
      <c r="M5" s="52">
        <v>7904302122</v>
      </c>
      <c r="N5" s="52">
        <v>9952346886</v>
      </c>
      <c r="O5" s="52">
        <v>9655287649</v>
      </c>
      <c r="P5" s="49"/>
    </row>
    <row r="6" spans="1:16" ht="55.5" customHeight="1" x14ac:dyDescent="0.3">
      <c r="A6" s="50">
        <v>3</v>
      </c>
      <c r="B6" s="51">
        <v>520023510003</v>
      </c>
      <c r="C6" s="50" t="s">
        <v>400</v>
      </c>
      <c r="D6" s="52" t="s">
        <v>401</v>
      </c>
      <c r="E6" s="53" t="s">
        <v>391</v>
      </c>
      <c r="F6" s="54">
        <v>45148</v>
      </c>
      <c r="G6" s="53">
        <v>225</v>
      </c>
      <c r="H6" s="53" t="s">
        <v>402</v>
      </c>
      <c r="I6" s="53" t="s">
        <v>403</v>
      </c>
      <c r="J6" s="54">
        <v>38219</v>
      </c>
      <c r="K6" s="52" t="s">
        <v>404</v>
      </c>
      <c r="L6" s="52" t="s">
        <v>405</v>
      </c>
      <c r="M6" s="52">
        <v>9361170065</v>
      </c>
      <c r="N6" s="52" t="s">
        <v>406</v>
      </c>
      <c r="O6" s="52">
        <v>9840331499</v>
      </c>
      <c r="P6" s="49"/>
    </row>
    <row r="7" spans="1:16" ht="55.5" customHeight="1" x14ac:dyDescent="0.3">
      <c r="A7" s="50">
        <v>4</v>
      </c>
      <c r="B7" s="51">
        <v>520023510004</v>
      </c>
      <c r="C7" s="50" t="s">
        <v>407</v>
      </c>
      <c r="D7" s="52" t="s">
        <v>408</v>
      </c>
      <c r="E7" s="53" t="s">
        <v>391</v>
      </c>
      <c r="F7" s="54">
        <v>45148</v>
      </c>
      <c r="G7" s="53">
        <v>378</v>
      </c>
      <c r="H7" s="53" t="s">
        <v>402</v>
      </c>
      <c r="I7" s="53" t="s">
        <v>222</v>
      </c>
      <c r="J7" s="54">
        <v>38344</v>
      </c>
      <c r="K7" s="52" t="s">
        <v>409</v>
      </c>
      <c r="L7" s="52" t="s">
        <v>410</v>
      </c>
      <c r="M7" s="52">
        <v>9361170065</v>
      </c>
      <c r="N7" s="52">
        <v>9965616216</v>
      </c>
      <c r="O7" s="52"/>
      <c r="P7" s="49"/>
    </row>
    <row r="8" spans="1:16" ht="55.5" customHeight="1" x14ac:dyDescent="0.3">
      <c r="A8" s="50">
        <v>5</v>
      </c>
      <c r="B8" s="51">
        <v>520023510005</v>
      </c>
      <c r="C8" s="50" t="s">
        <v>411</v>
      </c>
      <c r="D8" s="52" t="s">
        <v>412</v>
      </c>
      <c r="E8" s="53" t="s">
        <v>397</v>
      </c>
      <c r="F8" s="54">
        <v>45148</v>
      </c>
      <c r="G8" s="53">
        <v>237</v>
      </c>
      <c r="H8" s="53" t="s">
        <v>402</v>
      </c>
      <c r="I8" s="53" t="s">
        <v>403</v>
      </c>
      <c r="J8" s="54">
        <v>38226</v>
      </c>
      <c r="K8" s="52" t="s">
        <v>413</v>
      </c>
      <c r="L8" s="52" t="s">
        <v>414</v>
      </c>
      <c r="M8" s="52">
        <v>6369146297</v>
      </c>
      <c r="N8" s="52">
        <v>6379685706</v>
      </c>
      <c r="O8" s="52">
        <v>9788810198</v>
      </c>
      <c r="P8" s="49"/>
    </row>
    <row r="9" spans="1:16" ht="55.5" customHeight="1" x14ac:dyDescent="0.3">
      <c r="A9" s="50">
        <v>6</v>
      </c>
      <c r="B9" s="51">
        <v>520023510006</v>
      </c>
      <c r="C9" s="50" t="s">
        <v>415</v>
      </c>
      <c r="D9" s="52" t="s">
        <v>416</v>
      </c>
      <c r="E9" s="53" t="s">
        <v>391</v>
      </c>
      <c r="F9" s="54">
        <v>45170</v>
      </c>
      <c r="G9" s="53">
        <v>209</v>
      </c>
      <c r="H9" s="53" t="s">
        <v>417</v>
      </c>
      <c r="I9" s="53" t="s">
        <v>418</v>
      </c>
      <c r="J9" s="54">
        <v>38725</v>
      </c>
      <c r="K9" s="52" t="s">
        <v>419</v>
      </c>
      <c r="L9" s="52" t="s">
        <v>420</v>
      </c>
      <c r="M9" s="52">
        <v>8680083853</v>
      </c>
      <c r="N9" s="52">
        <v>9444384358</v>
      </c>
      <c r="O9" s="52">
        <v>9962639725</v>
      </c>
      <c r="P9" s="49"/>
    </row>
    <row r="10" spans="1:16" ht="55.5" customHeight="1" x14ac:dyDescent="0.3">
      <c r="A10" s="50">
        <v>7</v>
      </c>
      <c r="B10" s="51">
        <v>520023510007</v>
      </c>
      <c r="C10" s="50" t="s">
        <v>421</v>
      </c>
      <c r="D10" s="52" t="s">
        <v>422</v>
      </c>
      <c r="E10" s="53" t="s">
        <v>391</v>
      </c>
      <c r="F10" s="54">
        <v>45149</v>
      </c>
      <c r="G10" s="53">
        <v>358</v>
      </c>
      <c r="H10" s="53" t="s">
        <v>392</v>
      </c>
      <c r="I10" s="53" t="s">
        <v>241</v>
      </c>
      <c r="J10" s="54">
        <v>37334</v>
      </c>
      <c r="K10" s="52" t="s">
        <v>423</v>
      </c>
      <c r="L10" s="52" t="s">
        <v>424</v>
      </c>
      <c r="M10" s="52">
        <v>7010949253</v>
      </c>
      <c r="N10" s="52" t="s">
        <v>425</v>
      </c>
      <c r="O10" s="52">
        <v>9655241571</v>
      </c>
      <c r="P10" s="49"/>
    </row>
    <row r="11" spans="1:16" ht="55.5" customHeight="1" x14ac:dyDescent="0.3">
      <c r="A11" s="50">
        <v>8</v>
      </c>
      <c r="B11" s="51">
        <v>520023510008</v>
      </c>
      <c r="C11" s="50" t="s">
        <v>426</v>
      </c>
      <c r="D11" s="52" t="s">
        <v>427</v>
      </c>
      <c r="E11" s="53" t="s">
        <v>391</v>
      </c>
      <c r="F11" s="54">
        <v>45171</v>
      </c>
      <c r="G11" s="53">
        <v>537</v>
      </c>
      <c r="H11" s="53" t="s">
        <v>392</v>
      </c>
      <c r="I11" s="53" t="s">
        <v>222</v>
      </c>
      <c r="J11" s="54">
        <v>37389</v>
      </c>
      <c r="K11" s="52" t="s">
        <v>428</v>
      </c>
      <c r="L11" s="52" t="s">
        <v>429</v>
      </c>
      <c r="M11" s="52">
        <v>9994540958</v>
      </c>
      <c r="N11" s="52">
        <v>9442537522</v>
      </c>
      <c r="O11" s="52">
        <v>9489308347</v>
      </c>
      <c r="P11" s="49"/>
    </row>
    <row r="12" spans="1:16" ht="55.5" customHeight="1" x14ac:dyDescent="0.3">
      <c r="A12" s="50">
        <v>9</v>
      </c>
      <c r="B12" s="51">
        <v>520023510009</v>
      </c>
      <c r="C12" s="50" t="s">
        <v>430</v>
      </c>
      <c r="D12" s="52" t="s">
        <v>431</v>
      </c>
      <c r="E12" s="53" t="s">
        <v>397</v>
      </c>
      <c r="F12" s="54">
        <v>45172</v>
      </c>
      <c r="G12" s="53">
        <v>312</v>
      </c>
      <c r="H12" s="53" t="s">
        <v>432</v>
      </c>
      <c r="I12" s="53" t="s">
        <v>210</v>
      </c>
      <c r="J12" s="54">
        <v>38275</v>
      </c>
      <c r="K12" s="52" t="s">
        <v>433</v>
      </c>
      <c r="L12" s="52" t="s">
        <v>434</v>
      </c>
      <c r="M12" s="52">
        <v>6382225469</v>
      </c>
      <c r="N12" s="52">
        <v>9443527560</v>
      </c>
      <c r="O12" s="52">
        <v>9443177607</v>
      </c>
      <c r="P12" s="49"/>
    </row>
    <row r="13" spans="1:16" ht="55.5" customHeight="1" x14ac:dyDescent="0.3">
      <c r="A13" s="50">
        <v>10</v>
      </c>
      <c r="B13" s="51">
        <v>520023510010</v>
      </c>
      <c r="C13" s="50" t="s">
        <v>435</v>
      </c>
      <c r="D13" s="52" t="s">
        <v>436</v>
      </c>
      <c r="E13" s="53" t="s">
        <v>391</v>
      </c>
      <c r="F13" s="54">
        <v>45150</v>
      </c>
      <c r="G13" s="53">
        <v>203</v>
      </c>
      <c r="H13" s="53" t="s">
        <v>402</v>
      </c>
      <c r="I13" s="53" t="s">
        <v>44</v>
      </c>
      <c r="J13" s="54">
        <v>31516</v>
      </c>
      <c r="K13" s="52" t="s">
        <v>437</v>
      </c>
      <c r="L13" s="52" t="s">
        <v>438</v>
      </c>
      <c r="M13" s="55" t="s">
        <v>439</v>
      </c>
      <c r="N13" s="52">
        <v>9655385394</v>
      </c>
      <c r="O13" s="52">
        <v>7448985394</v>
      </c>
      <c r="P13" s="49"/>
    </row>
    <row r="14" spans="1:16" ht="55.5" customHeight="1" x14ac:dyDescent="0.3">
      <c r="A14" s="50">
        <v>11</v>
      </c>
      <c r="B14" s="51">
        <v>520023510011</v>
      </c>
      <c r="C14" s="56"/>
      <c r="D14" s="52" t="s">
        <v>440</v>
      </c>
      <c r="E14" s="53" t="s">
        <v>391</v>
      </c>
      <c r="F14" s="54">
        <v>45198</v>
      </c>
      <c r="G14" s="53">
        <v>219</v>
      </c>
      <c r="H14" s="53" t="s">
        <v>432</v>
      </c>
      <c r="I14" s="53" t="s">
        <v>55</v>
      </c>
      <c r="J14" s="54">
        <v>38219</v>
      </c>
      <c r="K14" s="52"/>
      <c r="L14" s="52"/>
      <c r="M14" s="52"/>
      <c r="N14" s="52"/>
      <c r="O14" s="52"/>
      <c r="P14" s="49"/>
    </row>
    <row r="15" spans="1:16" ht="55.5" customHeight="1" x14ac:dyDescent="0.3">
      <c r="A15" s="50">
        <v>12</v>
      </c>
      <c r="B15" s="51">
        <v>520023510012</v>
      </c>
      <c r="C15" s="50" t="s">
        <v>441</v>
      </c>
      <c r="D15" s="52" t="s">
        <v>442</v>
      </c>
      <c r="E15" s="53" t="s">
        <v>391</v>
      </c>
      <c r="F15" s="54">
        <v>45145</v>
      </c>
      <c r="G15" s="53">
        <v>535</v>
      </c>
      <c r="H15" s="53" t="s">
        <v>392</v>
      </c>
      <c r="I15" s="53" t="s">
        <v>210</v>
      </c>
      <c r="J15" s="54">
        <v>37885</v>
      </c>
      <c r="K15" s="52" t="s">
        <v>443</v>
      </c>
      <c r="L15" s="52" t="s">
        <v>444</v>
      </c>
      <c r="M15" s="52">
        <v>9443743722</v>
      </c>
      <c r="N15" s="52">
        <v>9442453434</v>
      </c>
      <c r="O15" s="52">
        <v>9487245751</v>
      </c>
      <c r="P15" s="49"/>
    </row>
    <row r="16" spans="1:16" ht="55.5" customHeight="1" x14ac:dyDescent="0.3">
      <c r="A16" s="50">
        <v>13</v>
      </c>
      <c r="B16" s="51">
        <v>520023510013</v>
      </c>
      <c r="C16" s="50" t="s">
        <v>445</v>
      </c>
      <c r="D16" s="52" t="s">
        <v>446</v>
      </c>
      <c r="E16" s="53" t="s">
        <v>391</v>
      </c>
      <c r="F16" s="54">
        <v>45174</v>
      </c>
      <c r="G16" s="53">
        <v>108</v>
      </c>
      <c r="H16" s="53" t="s">
        <v>432</v>
      </c>
      <c r="I16" s="53" t="s">
        <v>210</v>
      </c>
      <c r="J16" s="54">
        <v>38786</v>
      </c>
      <c r="K16" s="52" t="s">
        <v>447</v>
      </c>
      <c r="L16" s="52" t="s">
        <v>448</v>
      </c>
      <c r="M16" s="52">
        <v>8248252565</v>
      </c>
      <c r="N16" s="52">
        <v>9629482339</v>
      </c>
      <c r="O16" s="52">
        <v>9787366892</v>
      </c>
      <c r="P16" s="49"/>
    </row>
    <row r="17" spans="1:16" ht="55.5" customHeight="1" x14ac:dyDescent="0.3">
      <c r="A17" s="50">
        <v>14</v>
      </c>
      <c r="B17" s="51">
        <v>520023510014</v>
      </c>
      <c r="C17" s="50" t="s">
        <v>449</v>
      </c>
      <c r="D17" s="52" t="s">
        <v>450</v>
      </c>
      <c r="E17" s="53" t="s">
        <v>397</v>
      </c>
      <c r="F17" s="54">
        <v>45148</v>
      </c>
      <c r="G17" s="53">
        <v>531</v>
      </c>
      <c r="H17" s="53" t="s">
        <v>392</v>
      </c>
      <c r="I17" s="53" t="s">
        <v>210</v>
      </c>
      <c r="J17" s="54">
        <v>38060</v>
      </c>
      <c r="K17" s="52" t="s">
        <v>451</v>
      </c>
      <c r="L17" s="52" t="s">
        <v>452</v>
      </c>
      <c r="M17" s="52">
        <v>9487937372</v>
      </c>
      <c r="N17" s="52">
        <v>9443437372</v>
      </c>
      <c r="O17" s="52">
        <v>9444551192</v>
      </c>
      <c r="P17" s="49"/>
    </row>
    <row r="18" spans="1:16" ht="55.5" customHeight="1" x14ac:dyDescent="0.3">
      <c r="A18" s="50">
        <v>15</v>
      </c>
      <c r="B18" s="51">
        <v>520023510015</v>
      </c>
      <c r="C18" s="50" t="s">
        <v>453</v>
      </c>
      <c r="D18" s="52" t="s">
        <v>454</v>
      </c>
      <c r="E18" s="53" t="s">
        <v>391</v>
      </c>
      <c r="F18" s="54">
        <v>45170</v>
      </c>
      <c r="G18" s="53">
        <v>532</v>
      </c>
      <c r="H18" s="53" t="s">
        <v>392</v>
      </c>
      <c r="I18" s="53" t="s">
        <v>210</v>
      </c>
      <c r="J18" s="54">
        <v>38176</v>
      </c>
      <c r="K18" s="52" t="s">
        <v>455</v>
      </c>
      <c r="L18" s="52" t="s">
        <v>456</v>
      </c>
      <c r="M18" s="52">
        <v>9940847836</v>
      </c>
      <c r="N18" s="52">
        <v>9442283841</v>
      </c>
      <c r="O18" s="52">
        <v>9486350673</v>
      </c>
      <c r="P18" s="49"/>
    </row>
    <row r="19" spans="1:16" ht="55.5" customHeight="1" x14ac:dyDescent="0.3">
      <c r="A19" s="50">
        <v>16</v>
      </c>
      <c r="B19" s="51">
        <v>520023510016</v>
      </c>
      <c r="C19" s="50" t="s">
        <v>457</v>
      </c>
      <c r="D19" s="52" t="s">
        <v>458</v>
      </c>
      <c r="E19" s="53" t="s">
        <v>397</v>
      </c>
      <c r="F19" s="54">
        <v>45171</v>
      </c>
      <c r="G19" s="53">
        <v>543</v>
      </c>
      <c r="H19" s="53" t="s">
        <v>392</v>
      </c>
      <c r="I19" s="53" t="s">
        <v>210</v>
      </c>
      <c r="J19" s="54">
        <v>38288</v>
      </c>
      <c r="K19" s="52" t="s">
        <v>459</v>
      </c>
      <c r="L19" s="52" t="s">
        <v>460</v>
      </c>
      <c r="M19" s="52">
        <v>6380584745</v>
      </c>
      <c r="N19" s="52">
        <v>6374325852</v>
      </c>
      <c r="O19" s="52">
        <v>8610388904</v>
      </c>
      <c r="P19" s="49"/>
    </row>
    <row r="20" spans="1:16" ht="55.5" customHeight="1" x14ac:dyDescent="0.3">
      <c r="A20" s="50">
        <v>17</v>
      </c>
      <c r="B20" s="51">
        <v>520023510017</v>
      </c>
      <c r="C20" s="50" t="s">
        <v>461</v>
      </c>
      <c r="D20" s="52" t="s">
        <v>462</v>
      </c>
      <c r="E20" s="53" t="s">
        <v>391</v>
      </c>
      <c r="F20" s="54">
        <v>45174</v>
      </c>
      <c r="G20" s="53">
        <v>306</v>
      </c>
      <c r="H20" s="53" t="s">
        <v>417</v>
      </c>
      <c r="I20" s="53" t="s">
        <v>222</v>
      </c>
      <c r="J20" s="54"/>
      <c r="K20" s="52" t="s">
        <v>459</v>
      </c>
      <c r="L20" s="52" t="s">
        <v>460</v>
      </c>
      <c r="M20" s="52">
        <v>6380584745</v>
      </c>
      <c r="N20" s="52">
        <v>6374325852</v>
      </c>
      <c r="O20" s="52">
        <v>8610388904</v>
      </c>
      <c r="P20" s="49"/>
    </row>
    <row r="21" spans="1:16" ht="55.5" customHeight="1" x14ac:dyDescent="0.3">
      <c r="A21" s="50">
        <v>18</v>
      </c>
      <c r="B21" s="51">
        <v>520023510018</v>
      </c>
      <c r="C21" s="50" t="s">
        <v>463</v>
      </c>
      <c r="D21" s="52" t="s">
        <v>464</v>
      </c>
      <c r="E21" s="53" t="s">
        <v>397</v>
      </c>
      <c r="F21" s="54">
        <v>45148</v>
      </c>
      <c r="G21" s="53">
        <v>541</v>
      </c>
      <c r="H21" s="53" t="s">
        <v>392</v>
      </c>
      <c r="I21" s="53" t="s">
        <v>210</v>
      </c>
      <c r="J21" s="54">
        <v>38217</v>
      </c>
      <c r="K21" s="52" t="s">
        <v>465</v>
      </c>
      <c r="L21" s="52" t="s">
        <v>466</v>
      </c>
      <c r="M21" s="52">
        <v>7904919787</v>
      </c>
      <c r="N21" s="52">
        <v>9787692848</v>
      </c>
      <c r="O21" s="52">
        <v>9942336840</v>
      </c>
      <c r="P21" s="49"/>
    </row>
    <row r="22" spans="1:16" ht="55.5" customHeight="1" x14ac:dyDescent="0.3">
      <c r="A22" s="50">
        <v>19</v>
      </c>
      <c r="B22" s="51">
        <v>520023510019</v>
      </c>
      <c r="C22" s="50" t="s">
        <v>467</v>
      </c>
      <c r="D22" s="52" t="s">
        <v>468</v>
      </c>
      <c r="E22" s="53" t="s">
        <v>397</v>
      </c>
      <c r="F22" s="54">
        <v>45198</v>
      </c>
      <c r="G22" s="53">
        <v>206</v>
      </c>
      <c r="H22" s="53" t="s">
        <v>432</v>
      </c>
      <c r="I22" s="53" t="s">
        <v>210</v>
      </c>
      <c r="J22" s="54">
        <v>38249</v>
      </c>
      <c r="K22" s="52" t="s">
        <v>469</v>
      </c>
      <c r="L22" s="52" t="s">
        <v>470</v>
      </c>
      <c r="M22" s="52">
        <v>9159642557</v>
      </c>
      <c r="N22" s="52">
        <v>9443055771</v>
      </c>
      <c r="O22" s="52">
        <v>9442242557</v>
      </c>
      <c r="P22" s="49"/>
    </row>
    <row r="23" spans="1:16" ht="55.5" customHeight="1" x14ac:dyDescent="0.3">
      <c r="A23" s="50">
        <v>20</v>
      </c>
      <c r="B23" s="51">
        <v>520023510020</v>
      </c>
      <c r="C23" s="50" t="s">
        <v>471</v>
      </c>
      <c r="D23" s="52" t="s">
        <v>472</v>
      </c>
      <c r="E23" s="53" t="s">
        <v>397</v>
      </c>
      <c r="F23" s="54">
        <v>45189</v>
      </c>
      <c r="G23" s="53">
        <v>247</v>
      </c>
      <c r="H23" s="53" t="s">
        <v>432</v>
      </c>
      <c r="I23" s="53" t="s">
        <v>210</v>
      </c>
      <c r="J23" s="54">
        <v>37839</v>
      </c>
      <c r="K23" s="52" t="s">
        <v>473</v>
      </c>
      <c r="L23" s="52" t="s">
        <v>474</v>
      </c>
      <c r="M23" s="52">
        <v>8870896337</v>
      </c>
      <c r="N23" s="52">
        <v>8124636003</v>
      </c>
      <c r="O23" s="52">
        <v>8610538335</v>
      </c>
      <c r="P23" s="49"/>
    </row>
    <row r="24" spans="1:16" ht="55.5" customHeight="1" x14ac:dyDescent="0.3">
      <c r="A24" s="50">
        <v>21</v>
      </c>
      <c r="B24" s="51">
        <v>520023510021</v>
      </c>
      <c r="C24" s="50" t="s">
        <v>475</v>
      </c>
      <c r="D24" s="52" t="s">
        <v>476</v>
      </c>
      <c r="E24" s="53" t="s">
        <v>397</v>
      </c>
      <c r="F24" s="54">
        <v>45147</v>
      </c>
      <c r="G24" s="53">
        <v>423</v>
      </c>
      <c r="H24" s="53" t="s">
        <v>392</v>
      </c>
      <c r="I24" s="53" t="s">
        <v>44</v>
      </c>
      <c r="J24" s="54">
        <v>38878</v>
      </c>
      <c r="K24" s="52" t="s">
        <v>477</v>
      </c>
      <c r="L24" s="52" t="s">
        <v>478</v>
      </c>
      <c r="M24" s="52">
        <v>7010346054</v>
      </c>
      <c r="N24" s="52">
        <v>8825543802</v>
      </c>
      <c r="O24" s="52"/>
      <c r="P24" s="49"/>
    </row>
    <row r="25" spans="1:16" ht="55.5" customHeight="1" x14ac:dyDescent="0.3">
      <c r="A25" s="57">
        <v>117</v>
      </c>
      <c r="B25" s="51">
        <v>520023510022</v>
      </c>
      <c r="C25" s="50" t="s">
        <v>479</v>
      </c>
      <c r="D25" s="52" t="s">
        <v>480</v>
      </c>
      <c r="E25" s="53" t="s">
        <v>391</v>
      </c>
      <c r="F25" s="54">
        <v>45173</v>
      </c>
      <c r="G25" s="53">
        <v>378</v>
      </c>
      <c r="H25" s="53" t="s">
        <v>432</v>
      </c>
      <c r="I25" s="53" t="s">
        <v>418</v>
      </c>
      <c r="J25" s="54">
        <v>37876</v>
      </c>
      <c r="K25" s="52" t="s">
        <v>481</v>
      </c>
      <c r="L25" s="52" t="s">
        <v>482</v>
      </c>
      <c r="M25" s="52">
        <v>9363218766</v>
      </c>
      <c r="N25" s="52">
        <v>9486457749</v>
      </c>
      <c r="O25" s="52">
        <v>9486985078</v>
      </c>
      <c r="P25" s="49"/>
    </row>
    <row r="26" spans="1:16" ht="55.5" customHeight="1" x14ac:dyDescent="0.3">
      <c r="A26" s="50">
        <v>23</v>
      </c>
      <c r="B26" s="51">
        <v>520023510023</v>
      </c>
      <c r="C26" s="50" t="s">
        <v>483</v>
      </c>
      <c r="D26" s="52" t="s">
        <v>484</v>
      </c>
      <c r="E26" s="53" t="s">
        <v>397</v>
      </c>
      <c r="F26" s="54">
        <v>45149</v>
      </c>
      <c r="G26" s="53">
        <v>425</v>
      </c>
      <c r="H26" s="53" t="s">
        <v>392</v>
      </c>
      <c r="I26" s="53" t="s">
        <v>44</v>
      </c>
      <c r="J26" s="54">
        <v>37099</v>
      </c>
      <c r="K26" s="52" t="s">
        <v>485</v>
      </c>
      <c r="L26" s="52" t="s">
        <v>486</v>
      </c>
      <c r="M26" s="52">
        <v>9087828952</v>
      </c>
      <c r="N26" s="52">
        <v>9788264279</v>
      </c>
      <c r="O26" s="52"/>
      <c r="P26" s="49"/>
    </row>
    <row r="27" spans="1:16" ht="55.5" customHeight="1" x14ac:dyDescent="0.3">
      <c r="A27" s="50">
        <v>24</v>
      </c>
      <c r="B27" s="51">
        <v>520023510024</v>
      </c>
      <c r="C27" s="50" t="s">
        <v>487</v>
      </c>
      <c r="D27" s="52" t="s">
        <v>488</v>
      </c>
      <c r="E27" s="53" t="s">
        <v>397</v>
      </c>
      <c r="F27" s="54">
        <v>45147</v>
      </c>
      <c r="G27" s="53">
        <v>510</v>
      </c>
      <c r="H27" s="53" t="s">
        <v>392</v>
      </c>
      <c r="I27" s="53" t="s">
        <v>403</v>
      </c>
      <c r="J27" s="54">
        <v>38389</v>
      </c>
      <c r="K27" s="52" t="s">
        <v>489</v>
      </c>
      <c r="L27" s="52" t="s">
        <v>490</v>
      </c>
      <c r="M27" s="52">
        <v>6382260498</v>
      </c>
      <c r="N27" s="52">
        <v>9342893231</v>
      </c>
      <c r="O27" s="52">
        <v>6380067235</v>
      </c>
      <c r="P27" s="49"/>
    </row>
    <row r="28" spans="1:16" ht="55.5" customHeight="1" x14ac:dyDescent="0.3">
      <c r="A28" s="50">
        <v>25</v>
      </c>
      <c r="B28" s="51">
        <v>520023510025</v>
      </c>
      <c r="C28" s="50" t="s">
        <v>491</v>
      </c>
      <c r="D28" s="52" t="s">
        <v>492</v>
      </c>
      <c r="E28" s="53" t="s">
        <v>391</v>
      </c>
      <c r="F28" s="54">
        <v>45147</v>
      </c>
      <c r="G28" s="53">
        <v>515</v>
      </c>
      <c r="H28" s="53" t="s">
        <v>392</v>
      </c>
      <c r="I28" s="53" t="s">
        <v>403</v>
      </c>
      <c r="J28" s="54">
        <v>38439</v>
      </c>
      <c r="K28" s="52" t="s">
        <v>493</v>
      </c>
      <c r="L28" s="52" t="s">
        <v>494</v>
      </c>
      <c r="M28" s="52">
        <v>9345080306</v>
      </c>
      <c r="N28" s="52" t="s">
        <v>495</v>
      </c>
      <c r="O28" s="52">
        <v>6383208030</v>
      </c>
      <c r="P28" s="49"/>
    </row>
    <row r="29" spans="1:16" ht="55.5" customHeight="1" x14ac:dyDescent="0.3">
      <c r="A29" s="50">
        <v>26</v>
      </c>
      <c r="B29" s="51">
        <v>520023510026</v>
      </c>
      <c r="C29" s="50" t="s">
        <v>496</v>
      </c>
      <c r="D29" s="52" t="s">
        <v>497</v>
      </c>
      <c r="E29" s="53" t="s">
        <v>397</v>
      </c>
      <c r="F29" s="54">
        <v>45148</v>
      </c>
      <c r="G29" s="53">
        <v>249</v>
      </c>
      <c r="H29" s="53" t="s">
        <v>402</v>
      </c>
      <c r="I29" s="53" t="s">
        <v>403</v>
      </c>
      <c r="J29" s="54">
        <v>38202</v>
      </c>
      <c r="K29" s="52" t="s">
        <v>498</v>
      </c>
      <c r="L29" s="52" t="s">
        <v>499</v>
      </c>
      <c r="M29" s="52">
        <v>7010487769</v>
      </c>
      <c r="N29" s="52">
        <v>9443686176</v>
      </c>
      <c r="O29" s="52">
        <v>9486257138</v>
      </c>
      <c r="P29" s="49"/>
    </row>
    <row r="30" spans="1:16" ht="55.5" customHeight="1" x14ac:dyDescent="0.3">
      <c r="A30" s="50">
        <v>27</v>
      </c>
      <c r="B30" s="51">
        <v>520023510027</v>
      </c>
      <c r="C30" s="50" t="s">
        <v>500</v>
      </c>
      <c r="D30" s="52" t="s">
        <v>501</v>
      </c>
      <c r="E30" s="53" t="s">
        <v>391</v>
      </c>
      <c r="F30" s="54">
        <v>45148</v>
      </c>
      <c r="G30" s="53">
        <v>426</v>
      </c>
      <c r="H30" s="53" t="s">
        <v>392</v>
      </c>
      <c r="I30" s="53" t="s">
        <v>44</v>
      </c>
      <c r="J30" s="54">
        <v>38721</v>
      </c>
      <c r="K30" s="52" t="s">
        <v>502</v>
      </c>
      <c r="L30" s="52" t="s">
        <v>503</v>
      </c>
      <c r="M30" s="52">
        <v>8838866728</v>
      </c>
      <c r="N30" s="52" t="s">
        <v>504</v>
      </c>
      <c r="O30" s="52">
        <v>8098947784</v>
      </c>
      <c r="P30" s="49"/>
    </row>
    <row r="31" spans="1:16" ht="55.5" customHeight="1" x14ac:dyDescent="0.3">
      <c r="A31" s="50">
        <v>28</v>
      </c>
      <c r="B31" s="51">
        <v>520023510028</v>
      </c>
      <c r="C31" s="50" t="s">
        <v>505</v>
      </c>
      <c r="D31" s="52" t="s">
        <v>506</v>
      </c>
      <c r="E31" s="53" t="s">
        <v>391</v>
      </c>
      <c r="F31" s="54">
        <v>45172</v>
      </c>
      <c r="G31" s="53">
        <v>531</v>
      </c>
      <c r="H31" s="53" t="s">
        <v>392</v>
      </c>
      <c r="I31" s="53" t="s">
        <v>210</v>
      </c>
      <c r="J31" s="54">
        <v>38184</v>
      </c>
      <c r="K31" s="52" t="s">
        <v>507</v>
      </c>
      <c r="L31" s="52" t="s">
        <v>508</v>
      </c>
      <c r="M31" s="52">
        <v>9787142068</v>
      </c>
      <c r="N31" s="52">
        <v>9842218539</v>
      </c>
      <c r="O31" s="52">
        <v>9790338289</v>
      </c>
      <c r="P31" s="49"/>
    </row>
    <row r="32" spans="1:16" ht="55.5" customHeight="1" x14ac:dyDescent="0.3">
      <c r="A32" s="50">
        <v>29</v>
      </c>
      <c r="B32" s="51">
        <v>520023510029</v>
      </c>
      <c r="C32" s="50" t="s">
        <v>509</v>
      </c>
      <c r="D32" s="52" t="s">
        <v>510</v>
      </c>
      <c r="E32" s="53" t="s">
        <v>391</v>
      </c>
      <c r="F32" s="54">
        <v>45152</v>
      </c>
      <c r="G32" s="53">
        <v>429</v>
      </c>
      <c r="H32" s="53" t="s">
        <v>392</v>
      </c>
      <c r="I32" s="53" t="s">
        <v>44</v>
      </c>
      <c r="J32" s="54">
        <v>38312</v>
      </c>
      <c r="K32" s="52" t="s">
        <v>511</v>
      </c>
      <c r="L32" s="52" t="s">
        <v>512</v>
      </c>
      <c r="M32" s="52">
        <v>9025920539</v>
      </c>
      <c r="N32" s="52" t="s">
        <v>513</v>
      </c>
      <c r="O32" s="52">
        <v>9488794397</v>
      </c>
      <c r="P32" s="49"/>
    </row>
    <row r="33" spans="1:16" ht="55.5" customHeight="1" x14ac:dyDescent="0.3">
      <c r="A33" s="50">
        <v>30</v>
      </c>
      <c r="B33" s="51">
        <v>520023510030</v>
      </c>
      <c r="C33" s="50" t="s">
        <v>514</v>
      </c>
      <c r="D33" s="52" t="s">
        <v>515</v>
      </c>
      <c r="E33" s="53" t="s">
        <v>397</v>
      </c>
      <c r="F33" s="54">
        <v>45139</v>
      </c>
      <c r="G33" s="53">
        <v>372</v>
      </c>
      <c r="H33" s="53" t="s">
        <v>516</v>
      </c>
      <c r="I33" s="53" t="s">
        <v>517</v>
      </c>
      <c r="J33" s="54">
        <v>38550</v>
      </c>
      <c r="K33" s="52" t="s">
        <v>518</v>
      </c>
      <c r="L33" s="52" t="s">
        <v>519</v>
      </c>
      <c r="M33" s="52">
        <v>8489904995</v>
      </c>
      <c r="N33" s="52">
        <v>8098739631</v>
      </c>
      <c r="O33" s="52"/>
      <c r="P33" s="49"/>
    </row>
    <row r="34" spans="1:16" ht="55.5" customHeight="1" x14ac:dyDescent="0.3">
      <c r="A34" s="50">
        <v>31</v>
      </c>
      <c r="B34" s="51">
        <v>520023510031</v>
      </c>
      <c r="C34" s="50" t="s">
        <v>520</v>
      </c>
      <c r="D34" s="52" t="s">
        <v>521</v>
      </c>
      <c r="E34" s="53" t="s">
        <v>397</v>
      </c>
      <c r="F34" s="54">
        <v>45148</v>
      </c>
      <c r="G34" s="53">
        <v>475</v>
      </c>
      <c r="H34" s="53" t="s">
        <v>392</v>
      </c>
      <c r="I34" s="53" t="s">
        <v>44</v>
      </c>
      <c r="J34" s="54"/>
      <c r="K34" s="52" t="s">
        <v>522</v>
      </c>
      <c r="L34" s="52" t="s">
        <v>523</v>
      </c>
      <c r="M34" s="52">
        <v>9655006692</v>
      </c>
      <c r="N34" s="52">
        <v>9865811306</v>
      </c>
      <c r="O34" s="52">
        <v>7094745766</v>
      </c>
      <c r="P34" s="49"/>
    </row>
    <row r="35" spans="1:16" ht="55.5" customHeight="1" x14ac:dyDescent="0.3">
      <c r="A35" s="50">
        <v>32</v>
      </c>
      <c r="B35" s="51">
        <v>520023510032</v>
      </c>
      <c r="C35" s="50" t="s">
        <v>524</v>
      </c>
      <c r="D35" s="58" t="s">
        <v>242</v>
      </c>
      <c r="E35" s="53" t="s">
        <v>391</v>
      </c>
      <c r="F35" s="54">
        <v>45188</v>
      </c>
      <c r="G35" s="53">
        <v>333</v>
      </c>
      <c r="H35" s="53" t="s">
        <v>432</v>
      </c>
      <c r="I35" s="53" t="s">
        <v>210</v>
      </c>
      <c r="J35" s="54">
        <v>37684</v>
      </c>
      <c r="K35" s="52" t="s">
        <v>525</v>
      </c>
      <c r="L35" s="52" t="s">
        <v>526</v>
      </c>
      <c r="M35" s="52">
        <v>8778609438</v>
      </c>
      <c r="N35" s="52">
        <v>8778606717</v>
      </c>
      <c r="O35" s="52">
        <v>8667712875</v>
      </c>
      <c r="P35" s="49"/>
    </row>
    <row r="36" spans="1:16" ht="55.5" customHeight="1" x14ac:dyDescent="0.3">
      <c r="A36" s="50">
        <v>33</v>
      </c>
      <c r="B36" s="51">
        <v>520023510033</v>
      </c>
      <c r="C36" s="50" t="s">
        <v>527</v>
      </c>
      <c r="D36" s="52" t="s">
        <v>528</v>
      </c>
      <c r="E36" s="53" t="s">
        <v>391</v>
      </c>
      <c r="F36" s="54">
        <v>45149</v>
      </c>
      <c r="G36" s="53">
        <v>198</v>
      </c>
      <c r="H36" s="53" t="s">
        <v>402</v>
      </c>
      <c r="I36" s="53" t="s">
        <v>403</v>
      </c>
      <c r="J36" s="54">
        <v>38556</v>
      </c>
      <c r="K36" s="52" t="s">
        <v>529</v>
      </c>
      <c r="L36" s="52" t="s">
        <v>530</v>
      </c>
      <c r="M36" s="52">
        <v>9345791943</v>
      </c>
      <c r="N36" s="52">
        <v>9364445901</v>
      </c>
      <c r="O36" s="52">
        <v>9364445914</v>
      </c>
      <c r="P36" s="49"/>
    </row>
    <row r="37" spans="1:16" ht="55.5" customHeight="1" x14ac:dyDescent="0.3">
      <c r="A37" s="50">
        <v>34</v>
      </c>
      <c r="B37" s="51">
        <v>520023510034</v>
      </c>
      <c r="C37" s="50" t="s">
        <v>531</v>
      </c>
      <c r="D37" s="52" t="s">
        <v>532</v>
      </c>
      <c r="E37" s="53" t="s">
        <v>397</v>
      </c>
      <c r="F37" s="54">
        <v>45175</v>
      </c>
      <c r="G37" s="53">
        <v>320</v>
      </c>
      <c r="H37" s="53" t="s">
        <v>432</v>
      </c>
      <c r="I37" s="53" t="s">
        <v>210</v>
      </c>
      <c r="J37" s="54">
        <v>37844</v>
      </c>
      <c r="K37" s="52" t="s">
        <v>533</v>
      </c>
      <c r="L37" s="52" t="s">
        <v>534</v>
      </c>
      <c r="M37" s="52">
        <v>6379317019</v>
      </c>
      <c r="N37" s="52">
        <v>9442712927</v>
      </c>
      <c r="O37" s="52">
        <v>9159292435</v>
      </c>
      <c r="P37" s="49"/>
    </row>
    <row r="38" spans="1:16" ht="55.5" customHeight="1" x14ac:dyDescent="0.3">
      <c r="A38" s="50">
        <v>35</v>
      </c>
      <c r="B38" s="51">
        <v>520023510035</v>
      </c>
      <c r="C38" s="50" t="s">
        <v>535</v>
      </c>
      <c r="D38" s="52" t="s">
        <v>536</v>
      </c>
      <c r="E38" s="53" t="s">
        <v>397</v>
      </c>
      <c r="F38" s="54">
        <v>45172</v>
      </c>
      <c r="G38" s="53">
        <v>507</v>
      </c>
      <c r="H38" s="53" t="s">
        <v>392</v>
      </c>
      <c r="I38" s="53" t="s">
        <v>517</v>
      </c>
      <c r="J38" s="54">
        <v>38309</v>
      </c>
      <c r="K38" s="52" t="s">
        <v>537</v>
      </c>
      <c r="L38" s="52" t="s">
        <v>394</v>
      </c>
      <c r="M38" s="52">
        <v>7708360804</v>
      </c>
      <c r="N38" s="52">
        <v>7904106488</v>
      </c>
      <c r="O38" s="52">
        <v>9750242572</v>
      </c>
      <c r="P38" s="49"/>
    </row>
    <row r="39" spans="1:16" ht="55.5" customHeight="1" x14ac:dyDescent="0.3">
      <c r="A39" s="50">
        <v>36</v>
      </c>
      <c r="B39" s="51">
        <v>520023510036</v>
      </c>
      <c r="C39" s="50" t="s">
        <v>538</v>
      </c>
      <c r="D39" s="52" t="s">
        <v>539</v>
      </c>
      <c r="E39" s="53" t="s">
        <v>391</v>
      </c>
      <c r="F39" s="54">
        <v>45148</v>
      </c>
      <c r="G39" s="53">
        <v>512</v>
      </c>
      <c r="H39" s="53" t="s">
        <v>392</v>
      </c>
      <c r="I39" s="53" t="s">
        <v>403</v>
      </c>
      <c r="J39" s="54">
        <v>38813</v>
      </c>
      <c r="K39" s="52" t="s">
        <v>540</v>
      </c>
      <c r="L39" s="52" t="s">
        <v>541</v>
      </c>
      <c r="M39" s="52" t="s">
        <v>542</v>
      </c>
      <c r="N39" s="52" t="s">
        <v>543</v>
      </c>
      <c r="O39" s="52">
        <v>9159390331</v>
      </c>
      <c r="P39" s="49"/>
    </row>
    <row r="40" spans="1:16" ht="55.5" customHeight="1" x14ac:dyDescent="0.3">
      <c r="A40" s="50">
        <v>37</v>
      </c>
      <c r="B40" s="51">
        <v>520023510037</v>
      </c>
      <c r="C40" s="50" t="s">
        <v>544</v>
      </c>
      <c r="D40" s="52" t="s">
        <v>545</v>
      </c>
      <c r="E40" s="53" t="s">
        <v>397</v>
      </c>
      <c r="F40" s="54">
        <v>45146</v>
      </c>
      <c r="G40" s="53">
        <v>243</v>
      </c>
      <c r="H40" s="53" t="s">
        <v>402</v>
      </c>
      <c r="I40" s="53" t="s">
        <v>222</v>
      </c>
      <c r="J40" s="54">
        <v>38527</v>
      </c>
      <c r="K40" s="52" t="s">
        <v>546</v>
      </c>
      <c r="L40" s="52" t="s">
        <v>547</v>
      </c>
      <c r="M40" s="52">
        <v>9123513043</v>
      </c>
      <c r="N40" s="52">
        <v>9788999165</v>
      </c>
      <c r="O40" s="52">
        <v>9600346719</v>
      </c>
      <c r="P40" s="49"/>
    </row>
    <row r="41" spans="1:16" ht="55.5" customHeight="1" x14ac:dyDescent="0.3">
      <c r="A41" s="50">
        <v>38</v>
      </c>
      <c r="B41" s="51">
        <v>520023510038</v>
      </c>
      <c r="C41" s="50" t="s">
        <v>548</v>
      </c>
      <c r="D41" s="52" t="s">
        <v>549</v>
      </c>
      <c r="E41" s="53" t="s">
        <v>397</v>
      </c>
      <c r="F41" s="54">
        <v>45149</v>
      </c>
      <c r="G41" s="53">
        <v>219</v>
      </c>
      <c r="H41" s="53" t="s">
        <v>402</v>
      </c>
      <c r="I41" s="53" t="s">
        <v>210</v>
      </c>
      <c r="J41" s="54"/>
      <c r="K41" s="52" t="s">
        <v>404</v>
      </c>
      <c r="L41" s="52" t="s">
        <v>550</v>
      </c>
      <c r="M41" s="52">
        <v>9901178259</v>
      </c>
      <c r="N41" s="52">
        <v>9590056296</v>
      </c>
      <c r="O41" s="52"/>
      <c r="P41" s="49"/>
    </row>
    <row r="42" spans="1:16" ht="55.5" customHeight="1" x14ac:dyDescent="0.3">
      <c r="A42" s="50">
        <v>39</v>
      </c>
      <c r="B42" s="51">
        <v>520023510039</v>
      </c>
      <c r="C42" s="50" t="s">
        <v>551</v>
      </c>
      <c r="D42" s="52" t="s">
        <v>552</v>
      </c>
      <c r="E42" s="53" t="s">
        <v>391</v>
      </c>
      <c r="F42" s="54">
        <v>45149</v>
      </c>
      <c r="G42" s="53">
        <v>516</v>
      </c>
      <c r="H42" s="53" t="s">
        <v>392</v>
      </c>
      <c r="I42" s="53" t="s">
        <v>217</v>
      </c>
      <c r="J42" s="54">
        <v>36573</v>
      </c>
      <c r="K42" s="52" t="s">
        <v>553</v>
      </c>
      <c r="L42" s="52" t="s">
        <v>523</v>
      </c>
      <c r="M42" s="52">
        <v>9443816317</v>
      </c>
      <c r="N42" s="52">
        <v>9566916317</v>
      </c>
      <c r="O42" s="52"/>
      <c r="P42" s="49"/>
    </row>
    <row r="43" spans="1:16" ht="55.5" customHeight="1" x14ac:dyDescent="0.3">
      <c r="A43" s="50">
        <v>40</v>
      </c>
      <c r="B43" s="51">
        <v>520023510040</v>
      </c>
      <c r="C43" s="50" t="s">
        <v>554</v>
      </c>
      <c r="D43" s="52" t="s">
        <v>555</v>
      </c>
      <c r="E43" s="53" t="s">
        <v>397</v>
      </c>
      <c r="F43" s="54">
        <v>45172</v>
      </c>
      <c r="G43" s="53">
        <v>167</v>
      </c>
      <c r="H43" s="53" t="s">
        <v>417</v>
      </c>
      <c r="I43" s="53" t="s">
        <v>222</v>
      </c>
      <c r="J43" s="54">
        <v>38348</v>
      </c>
      <c r="K43" s="52" t="s">
        <v>556</v>
      </c>
      <c r="L43" s="52" t="s">
        <v>405</v>
      </c>
      <c r="M43" s="52">
        <v>7305774961</v>
      </c>
      <c r="N43" s="52">
        <v>9789920539</v>
      </c>
      <c r="O43" s="52">
        <v>9940307243</v>
      </c>
      <c r="P43" s="49"/>
    </row>
    <row r="44" spans="1:16" ht="55.5" customHeight="1" x14ac:dyDescent="0.3">
      <c r="A44" s="50">
        <v>41</v>
      </c>
      <c r="B44" s="51">
        <v>520023510041</v>
      </c>
      <c r="C44" s="50" t="s">
        <v>557</v>
      </c>
      <c r="D44" s="52" t="s">
        <v>558</v>
      </c>
      <c r="E44" s="53" t="s">
        <v>391</v>
      </c>
      <c r="F44" s="54">
        <v>45170</v>
      </c>
      <c r="G44" s="53">
        <v>177</v>
      </c>
      <c r="H44" s="53" t="s">
        <v>417</v>
      </c>
      <c r="I44" s="53" t="s">
        <v>222</v>
      </c>
      <c r="J44" s="54">
        <v>38703</v>
      </c>
      <c r="K44" s="52" t="s">
        <v>559</v>
      </c>
      <c r="L44" s="52" t="s">
        <v>560</v>
      </c>
      <c r="M44" s="52">
        <v>8939518517</v>
      </c>
      <c r="N44" s="52">
        <v>9884112097</v>
      </c>
      <c r="O44" s="52">
        <v>9884945005</v>
      </c>
      <c r="P44" s="49"/>
    </row>
    <row r="45" spans="1:16" ht="55.5" customHeight="1" x14ac:dyDescent="0.3">
      <c r="A45" s="50">
        <v>42</v>
      </c>
      <c r="B45" s="51">
        <v>520023510042</v>
      </c>
      <c r="C45" s="50" t="s">
        <v>561</v>
      </c>
      <c r="D45" s="52" t="s">
        <v>562</v>
      </c>
      <c r="E45" s="53" t="s">
        <v>391</v>
      </c>
      <c r="F45" s="54">
        <v>45171</v>
      </c>
      <c r="G45" s="53">
        <v>181</v>
      </c>
      <c r="H45" s="53" t="s">
        <v>417</v>
      </c>
      <c r="I45" s="53" t="s">
        <v>210</v>
      </c>
      <c r="J45" s="54">
        <v>38731</v>
      </c>
      <c r="K45" s="52" t="s">
        <v>563</v>
      </c>
      <c r="L45" s="52" t="s">
        <v>564</v>
      </c>
      <c r="M45" s="52">
        <v>9345693067</v>
      </c>
      <c r="N45" s="52">
        <v>9360354047</v>
      </c>
      <c r="O45" s="52">
        <v>8610876347</v>
      </c>
      <c r="P45" s="49"/>
    </row>
    <row r="46" spans="1:16" ht="55.5" customHeight="1" x14ac:dyDescent="0.3">
      <c r="A46" s="50">
        <v>43</v>
      </c>
      <c r="B46" s="51">
        <v>520023510043</v>
      </c>
      <c r="C46" s="50" t="s">
        <v>565</v>
      </c>
      <c r="D46" s="52" t="s">
        <v>566</v>
      </c>
      <c r="E46" s="53" t="s">
        <v>391</v>
      </c>
      <c r="F46" s="54">
        <v>45147</v>
      </c>
      <c r="G46" s="53">
        <v>524</v>
      </c>
      <c r="H46" s="53" t="s">
        <v>392</v>
      </c>
      <c r="I46" s="53" t="s">
        <v>210</v>
      </c>
      <c r="J46" s="54">
        <v>38286</v>
      </c>
      <c r="K46" s="52" t="s">
        <v>567</v>
      </c>
      <c r="L46" s="52" t="s">
        <v>568</v>
      </c>
      <c r="M46" s="52">
        <v>6379670311</v>
      </c>
      <c r="N46" s="52">
        <v>9159580901</v>
      </c>
      <c r="O46" s="52">
        <v>9629885531</v>
      </c>
      <c r="P46" s="49"/>
    </row>
    <row r="47" spans="1:16" ht="55.5" customHeight="1" x14ac:dyDescent="0.3">
      <c r="A47" s="50">
        <v>44</v>
      </c>
      <c r="B47" s="51">
        <v>520023510044</v>
      </c>
      <c r="C47" s="50" t="s">
        <v>569</v>
      </c>
      <c r="D47" s="52" t="s">
        <v>570</v>
      </c>
      <c r="E47" s="53" t="s">
        <v>391</v>
      </c>
      <c r="F47" s="54">
        <v>45145</v>
      </c>
      <c r="G47" s="53">
        <v>221</v>
      </c>
      <c r="H47" s="53" t="s">
        <v>402</v>
      </c>
      <c r="I47" s="53" t="s">
        <v>210</v>
      </c>
      <c r="J47" s="54">
        <v>38562</v>
      </c>
      <c r="K47" s="52" t="s">
        <v>571</v>
      </c>
      <c r="L47" s="52" t="s">
        <v>568</v>
      </c>
      <c r="M47" s="52">
        <v>8667720709</v>
      </c>
      <c r="N47" s="52">
        <v>9047394900</v>
      </c>
      <c r="O47" s="52">
        <v>9786097090</v>
      </c>
      <c r="P47" s="49"/>
    </row>
    <row r="48" spans="1:16" ht="55.5" customHeight="1" x14ac:dyDescent="0.3">
      <c r="A48" s="50">
        <v>45</v>
      </c>
      <c r="B48" s="51">
        <v>520023510045</v>
      </c>
      <c r="C48" s="50" t="s">
        <v>572</v>
      </c>
      <c r="D48" s="52" t="s">
        <v>573</v>
      </c>
      <c r="E48" s="53" t="s">
        <v>397</v>
      </c>
      <c r="F48" s="54">
        <v>45147</v>
      </c>
      <c r="G48" s="53">
        <v>407</v>
      </c>
      <c r="H48" s="53" t="s">
        <v>402</v>
      </c>
      <c r="I48" s="53" t="s">
        <v>210</v>
      </c>
      <c r="J48" s="54">
        <v>38239</v>
      </c>
      <c r="K48" s="52" t="s">
        <v>574</v>
      </c>
      <c r="L48" s="52" t="s">
        <v>575</v>
      </c>
      <c r="M48" s="52">
        <v>8056570499</v>
      </c>
      <c r="N48" s="52">
        <v>9790387388</v>
      </c>
      <c r="O48" s="52">
        <v>9994775590</v>
      </c>
      <c r="P48" s="49"/>
    </row>
    <row r="49" spans="1:16" ht="55.5" customHeight="1" x14ac:dyDescent="0.3">
      <c r="A49" s="50">
        <v>46</v>
      </c>
      <c r="B49" s="51">
        <v>520023510046</v>
      </c>
      <c r="C49" s="50" t="s">
        <v>576</v>
      </c>
      <c r="D49" s="52" t="s">
        <v>577</v>
      </c>
      <c r="E49" s="53" t="s">
        <v>397</v>
      </c>
      <c r="F49" s="54">
        <v>45148</v>
      </c>
      <c r="G49" s="53">
        <v>537</v>
      </c>
      <c r="H49" s="53" t="s">
        <v>392</v>
      </c>
      <c r="I49" s="53" t="s">
        <v>210</v>
      </c>
      <c r="J49" s="54">
        <v>38431</v>
      </c>
      <c r="K49" s="52" t="s">
        <v>578</v>
      </c>
      <c r="L49" s="52" t="s">
        <v>470</v>
      </c>
      <c r="M49" s="52">
        <v>9843031315</v>
      </c>
      <c r="N49" s="52">
        <v>9345012766</v>
      </c>
      <c r="O49" s="52">
        <v>9578876426</v>
      </c>
      <c r="P49" s="49"/>
    </row>
    <row r="50" spans="1:16" ht="55.5" customHeight="1" x14ac:dyDescent="0.3">
      <c r="A50" s="50">
        <v>47</v>
      </c>
      <c r="B50" s="51">
        <v>520023510047</v>
      </c>
      <c r="C50" s="50" t="s">
        <v>579</v>
      </c>
      <c r="D50" s="52" t="s">
        <v>580</v>
      </c>
      <c r="E50" s="53" t="s">
        <v>391</v>
      </c>
      <c r="F50" s="54">
        <v>45171</v>
      </c>
      <c r="G50" s="53">
        <v>506</v>
      </c>
      <c r="H50" s="53" t="s">
        <v>392</v>
      </c>
      <c r="I50" s="53" t="s">
        <v>517</v>
      </c>
      <c r="J50" s="54">
        <v>37557</v>
      </c>
      <c r="K50" s="52" t="s">
        <v>465</v>
      </c>
      <c r="L50" s="52" t="s">
        <v>581</v>
      </c>
      <c r="M50" s="52">
        <v>9092376257</v>
      </c>
      <c r="N50" s="52">
        <v>9965053334</v>
      </c>
      <c r="O50" s="52">
        <v>7010988687</v>
      </c>
      <c r="P50" s="49"/>
    </row>
    <row r="51" spans="1:16" ht="55.5" customHeight="1" x14ac:dyDescent="0.3">
      <c r="A51" s="50">
        <v>48</v>
      </c>
      <c r="B51" s="51">
        <v>520023510048</v>
      </c>
      <c r="C51" s="50" t="s">
        <v>582</v>
      </c>
      <c r="D51" s="52" t="s">
        <v>583</v>
      </c>
      <c r="E51" s="53" t="s">
        <v>397</v>
      </c>
      <c r="F51" s="54">
        <v>45147</v>
      </c>
      <c r="G51" s="53">
        <v>511</v>
      </c>
      <c r="H51" s="53" t="s">
        <v>392</v>
      </c>
      <c r="I51" s="53" t="s">
        <v>403</v>
      </c>
      <c r="J51" s="54"/>
      <c r="K51" s="52" t="s">
        <v>584</v>
      </c>
      <c r="L51" s="52" t="s">
        <v>585</v>
      </c>
      <c r="M51" s="52">
        <v>9361998332</v>
      </c>
      <c r="N51" s="52" t="s">
        <v>586</v>
      </c>
      <c r="O51" s="52">
        <v>9103050077</v>
      </c>
      <c r="P51" s="49"/>
    </row>
    <row r="52" spans="1:16" ht="55.5" customHeight="1" x14ac:dyDescent="0.3">
      <c r="A52" s="50">
        <v>49</v>
      </c>
      <c r="B52" s="51">
        <v>520023510049</v>
      </c>
      <c r="C52" s="50" t="s">
        <v>587</v>
      </c>
      <c r="D52" s="52" t="s">
        <v>588</v>
      </c>
      <c r="E52" s="53" t="s">
        <v>397</v>
      </c>
      <c r="F52" s="54">
        <v>45171</v>
      </c>
      <c r="G52" s="53">
        <v>352</v>
      </c>
      <c r="H52" s="53" t="s">
        <v>417</v>
      </c>
      <c r="I52" s="53" t="s">
        <v>44</v>
      </c>
      <c r="J52" s="54">
        <v>38600</v>
      </c>
      <c r="K52" s="52" t="s">
        <v>589</v>
      </c>
      <c r="L52" s="52" t="s">
        <v>590</v>
      </c>
      <c r="M52" s="52">
        <v>9789236917</v>
      </c>
      <c r="N52" s="52">
        <v>9442188220</v>
      </c>
      <c r="O52" s="52">
        <v>8925090180</v>
      </c>
      <c r="P52" s="49"/>
    </row>
    <row r="53" spans="1:16" ht="55.5" customHeight="1" x14ac:dyDescent="0.3">
      <c r="A53" s="50">
        <v>50</v>
      </c>
      <c r="B53" s="51">
        <v>520023510050</v>
      </c>
      <c r="C53" s="50" t="s">
        <v>591</v>
      </c>
      <c r="D53" s="52" t="s">
        <v>592</v>
      </c>
      <c r="E53" s="53" t="s">
        <v>391</v>
      </c>
      <c r="F53" s="54">
        <v>45149</v>
      </c>
      <c r="G53" s="53">
        <v>189</v>
      </c>
      <c r="H53" s="53" t="s">
        <v>402</v>
      </c>
      <c r="I53" s="53" t="s">
        <v>210</v>
      </c>
      <c r="J53" s="54">
        <v>38253</v>
      </c>
      <c r="K53" s="52" t="s">
        <v>593</v>
      </c>
      <c r="L53" s="52" t="s">
        <v>594</v>
      </c>
      <c r="M53" s="52">
        <v>8807148219</v>
      </c>
      <c r="N53" s="52" t="s">
        <v>595</v>
      </c>
      <c r="O53" s="52">
        <v>9629419812</v>
      </c>
      <c r="P53" s="49"/>
    </row>
    <row r="54" spans="1:16" ht="55.5" customHeight="1" x14ac:dyDescent="0.3">
      <c r="A54" s="50">
        <v>51</v>
      </c>
      <c r="B54" s="51">
        <v>520023510051</v>
      </c>
      <c r="C54" s="50" t="s">
        <v>596</v>
      </c>
      <c r="D54" s="58" t="s">
        <v>597</v>
      </c>
      <c r="E54" s="53" t="s">
        <v>397</v>
      </c>
      <c r="F54" s="54">
        <v>45189</v>
      </c>
      <c r="G54" s="53">
        <v>112</v>
      </c>
      <c r="H54" s="53" t="s">
        <v>432</v>
      </c>
      <c r="I54" s="53" t="s">
        <v>44</v>
      </c>
      <c r="J54" s="54">
        <v>38226</v>
      </c>
      <c r="K54" s="52" t="s">
        <v>598</v>
      </c>
      <c r="L54" s="52" t="s">
        <v>599</v>
      </c>
      <c r="M54" s="52">
        <v>9025804364</v>
      </c>
      <c r="N54" s="52">
        <v>9443642976</v>
      </c>
      <c r="O54" s="52">
        <v>9600606027</v>
      </c>
      <c r="P54" s="49"/>
    </row>
    <row r="55" spans="1:16" ht="55.5" customHeight="1" x14ac:dyDescent="0.3">
      <c r="A55" s="50">
        <v>52</v>
      </c>
      <c r="B55" s="51">
        <v>520023510052</v>
      </c>
      <c r="C55" s="50" t="s">
        <v>600</v>
      </c>
      <c r="D55" s="58" t="s">
        <v>601</v>
      </c>
      <c r="E55" s="53" t="s">
        <v>397</v>
      </c>
      <c r="F55" s="59">
        <v>45189</v>
      </c>
      <c r="G55" s="53">
        <v>162</v>
      </c>
      <c r="H55" s="53" t="s">
        <v>432</v>
      </c>
      <c r="I55" s="53" t="s">
        <v>217</v>
      </c>
      <c r="J55" s="54">
        <v>38743</v>
      </c>
      <c r="K55" s="52" t="s">
        <v>602</v>
      </c>
      <c r="L55" s="52" t="s">
        <v>603</v>
      </c>
      <c r="M55" s="52">
        <v>9995478870</v>
      </c>
      <c r="N55" s="52">
        <v>8870492762</v>
      </c>
      <c r="O55" s="52">
        <v>9600449939</v>
      </c>
      <c r="P55" s="49"/>
    </row>
    <row r="56" spans="1:16" ht="55.5" customHeight="1" x14ac:dyDescent="0.3">
      <c r="A56" s="50">
        <v>53</v>
      </c>
      <c r="B56" s="51">
        <v>520023510053</v>
      </c>
      <c r="C56" s="50" t="s">
        <v>604</v>
      </c>
      <c r="D56" s="52" t="s">
        <v>605</v>
      </c>
      <c r="E56" s="53" t="s">
        <v>391</v>
      </c>
      <c r="F56" s="54">
        <v>45148</v>
      </c>
      <c r="G56" s="53">
        <v>203</v>
      </c>
      <c r="H56" s="53" t="s">
        <v>402</v>
      </c>
      <c r="I56" s="53" t="s">
        <v>210</v>
      </c>
      <c r="J56" s="54">
        <v>38418</v>
      </c>
      <c r="K56" s="52" t="s">
        <v>606</v>
      </c>
      <c r="L56" s="52" t="s">
        <v>607</v>
      </c>
      <c r="M56" s="52"/>
      <c r="N56" s="52" t="s">
        <v>608</v>
      </c>
      <c r="O56" s="52">
        <v>9442535255</v>
      </c>
      <c r="P56" s="49"/>
    </row>
    <row r="57" spans="1:16" ht="55.5" customHeight="1" x14ac:dyDescent="0.3">
      <c r="A57" s="50">
        <v>54</v>
      </c>
      <c r="B57" s="51">
        <v>520023510054</v>
      </c>
      <c r="C57" s="50" t="s">
        <v>609</v>
      </c>
      <c r="D57" s="52" t="s">
        <v>610</v>
      </c>
      <c r="E57" s="53" t="s">
        <v>397</v>
      </c>
      <c r="F57" s="54">
        <v>45147</v>
      </c>
      <c r="G57" s="53">
        <v>188</v>
      </c>
      <c r="H57" s="53" t="s">
        <v>402</v>
      </c>
      <c r="I57" s="53" t="s">
        <v>403</v>
      </c>
      <c r="J57" s="54">
        <v>38609</v>
      </c>
      <c r="K57" s="52" t="s">
        <v>611</v>
      </c>
      <c r="L57" s="52" t="s">
        <v>612</v>
      </c>
      <c r="M57" s="52">
        <v>9159236022</v>
      </c>
      <c r="N57" s="52">
        <v>9787873016</v>
      </c>
      <c r="O57" s="52">
        <v>9786777768</v>
      </c>
      <c r="P57" s="49"/>
    </row>
    <row r="58" spans="1:16" ht="55.5" customHeight="1" x14ac:dyDescent="0.3">
      <c r="A58" s="50">
        <v>55</v>
      </c>
      <c r="B58" s="51">
        <v>520023510055</v>
      </c>
      <c r="C58" s="50" t="s">
        <v>613</v>
      </c>
      <c r="D58" s="52" t="s">
        <v>614</v>
      </c>
      <c r="E58" s="53" t="s">
        <v>391</v>
      </c>
      <c r="F58" s="54">
        <v>45170</v>
      </c>
      <c r="G58" s="53">
        <v>107</v>
      </c>
      <c r="H58" s="53" t="s">
        <v>432</v>
      </c>
      <c r="I58" s="53" t="s">
        <v>210</v>
      </c>
      <c r="J58" s="54">
        <v>38201</v>
      </c>
      <c r="K58" s="52" t="s">
        <v>615</v>
      </c>
      <c r="L58" s="52" t="s">
        <v>616</v>
      </c>
      <c r="M58" s="52">
        <v>8608209900</v>
      </c>
      <c r="N58" s="52">
        <v>8220077832</v>
      </c>
      <c r="O58" s="52">
        <v>8508355088</v>
      </c>
      <c r="P58" s="49"/>
    </row>
    <row r="59" spans="1:16" ht="55.5" customHeight="1" x14ac:dyDescent="0.3">
      <c r="A59" s="50">
        <v>56</v>
      </c>
      <c r="B59" s="51">
        <v>520023510056</v>
      </c>
      <c r="C59" s="50" t="s">
        <v>617</v>
      </c>
      <c r="D59" s="52" t="s">
        <v>618</v>
      </c>
      <c r="E59" s="53" t="s">
        <v>391</v>
      </c>
      <c r="F59" s="54">
        <v>45172</v>
      </c>
      <c r="G59" s="53">
        <v>531</v>
      </c>
      <c r="H59" s="53" t="s">
        <v>392</v>
      </c>
      <c r="I59" s="53" t="s">
        <v>210</v>
      </c>
      <c r="J59" s="54">
        <v>38181</v>
      </c>
      <c r="K59" s="52" t="s">
        <v>619</v>
      </c>
      <c r="L59" s="52" t="s">
        <v>620</v>
      </c>
      <c r="M59" s="52">
        <v>9487065699</v>
      </c>
      <c r="N59" s="52">
        <v>9442112299</v>
      </c>
      <c r="O59" s="52">
        <v>8220796699</v>
      </c>
      <c r="P59" s="49"/>
    </row>
    <row r="60" spans="1:16" ht="55.5" customHeight="1" x14ac:dyDescent="0.3">
      <c r="A60" s="50">
        <v>57</v>
      </c>
      <c r="B60" s="51">
        <v>520023510057</v>
      </c>
      <c r="C60" s="50" t="s">
        <v>621</v>
      </c>
      <c r="D60" s="52" t="s">
        <v>622</v>
      </c>
      <c r="E60" s="53" t="s">
        <v>397</v>
      </c>
      <c r="F60" s="54">
        <v>45149</v>
      </c>
      <c r="G60" s="53">
        <v>532</v>
      </c>
      <c r="H60" s="53" t="s">
        <v>392</v>
      </c>
      <c r="I60" s="53" t="s">
        <v>210</v>
      </c>
      <c r="J60" s="54">
        <v>38567</v>
      </c>
      <c r="K60" s="52" t="s">
        <v>623</v>
      </c>
      <c r="L60" s="52" t="s">
        <v>624</v>
      </c>
      <c r="M60" s="52">
        <v>8667457619</v>
      </c>
      <c r="N60" s="52" t="s">
        <v>625</v>
      </c>
      <c r="O60" s="52">
        <v>8667457619</v>
      </c>
      <c r="P60" s="49"/>
    </row>
    <row r="61" spans="1:16" ht="55.5" customHeight="1" x14ac:dyDescent="0.3">
      <c r="A61" s="50">
        <v>58</v>
      </c>
      <c r="B61" s="51">
        <v>520023510058</v>
      </c>
      <c r="C61" s="50" t="s">
        <v>626</v>
      </c>
      <c r="D61" s="52" t="s">
        <v>627</v>
      </c>
      <c r="E61" s="53" t="s">
        <v>397</v>
      </c>
      <c r="F61" s="54">
        <v>45171</v>
      </c>
      <c r="G61" s="53">
        <v>182</v>
      </c>
      <c r="H61" s="53" t="s">
        <v>417</v>
      </c>
      <c r="I61" s="53" t="s">
        <v>210</v>
      </c>
      <c r="J61" s="54">
        <v>38169</v>
      </c>
      <c r="K61" s="52" t="s">
        <v>628</v>
      </c>
      <c r="L61" s="52" t="s">
        <v>629</v>
      </c>
      <c r="M61" s="52">
        <v>8825903606</v>
      </c>
      <c r="N61" s="52">
        <v>8248031899</v>
      </c>
      <c r="O61" s="52">
        <v>6381592068</v>
      </c>
      <c r="P61" s="49"/>
    </row>
    <row r="62" spans="1:16" ht="55.5" customHeight="1" x14ac:dyDescent="0.3">
      <c r="A62" s="50">
        <v>59</v>
      </c>
      <c r="B62" s="51">
        <v>520023510059</v>
      </c>
      <c r="C62" s="50" t="s">
        <v>630</v>
      </c>
      <c r="D62" s="52" t="s">
        <v>631</v>
      </c>
      <c r="E62" s="53" t="s">
        <v>397</v>
      </c>
      <c r="F62" s="54">
        <v>45198</v>
      </c>
      <c r="G62" s="53">
        <v>331</v>
      </c>
      <c r="H62" s="53" t="s">
        <v>432</v>
      </c>
      <c r="I62" s="53" t="s">
        <v>210</v>
      </c>
      <c r="J62" s="54">
        <v>38336</v>
      </c>
      <c r="K62" s="52" t="s">
        <v>632</v>
      </c>
      <c r="L62" s="52" t="s">
        <v>633</v>
      </c>
      <c r="M62" s="52">
        <v>8610527597</v>
      </c>
      <c r="N62" s="52">
        <v>9245785533</v>
      </c>
      <c r="O62" s="52">
        <v>9245842045</v>
      </c>
      <c r="P62" s="49"/>
    </row>
    <row r="63" spans="1:16" ht="55.5" customHeight="1" x14ac:dyDescent="0.3">
      <c r="A63" s="50">
        <v>60</v>
      </c>
      <c r="B63" s="51">
        <v>520023510060</v>
      </c>
      <c r="C63" s="50" t="s">
        <v>634</v>
      </c>
      <c r="D63" s="52" t="s">
        <v>635</v>
      </c>
      <c r="E63" s="53" t="s">
        <v>391</v>
      </c>
      <c r="F63" s="54">
        <v>45142</v>
      </c>
      <c r="G63" s="53">
        <v>377</v>
      </c>
      <c r="H63" s="53" t="s">
        <v>516</v>
      </c>
      <c r="I63" s="53" t="s">
        <v>403</v>
      </c>
      <c r="J63" s="54"/>
      <c r="K63" s="52" t="s">
        <v>636</v>
      </c>
      <c r="L63" s="52" t="s">
        <v>499</v>
      </c>
      <c r="M63" s="52">
        <v>8072783131</v>
      </c>
      <c r="N63" s="52">
        <v>9698197588</v>
      </c>
      <c r="O63" s="52">
        <v>9360741835</v>
      </c>
      <c r="P63" s="49"/>
    </row>
    <row r="64" spans="1:16" ht="55.5" customHeight="1" x14ac:dyDescent="0.3">
      <c r="A64" s="50">
        <v>61</v>
      </c>
      <c r="B64" s="51">
        <v>520023510061</v>
      </c>
      <c r="C64" s="50" t="s">
        <v>637</v>
      </c>
      <c r="D64" s="58" t="s">
        <v>635</v>
      </c>
      <c r="E64" s="53" t="s">
        <v>391</v>
      </c>
      <c r="F64" s="54">
        <v>45172</v>
      </c>
      <c r="G64" s="53">
        <v>508</v>
      </c>
      <c r="H64" s="53" t="s">
        <v>392</v>
      </c>
      <c r="I64" s="53" t="s">
        <v>517</v>
      </c>
      <c r="J64" s="54">
        <v>38290</v>
      </c>
      <c r="K64" s="52" t="s">
        <v>638</v>
      </c>
      <c r="L64" s="52" t="s">
        <v>639</v>
      </c>
      <c r="M64" s="52">
        <v>9790445997</v>
      </c>
      <c r="N64" s="52">
        <v>9361824233</v>
      </c>
      <c r="O64" s="52">
        <v>9944336530</v>
      </c>
      <c r="P64" s="49"/>
    </row>
    <row r="65" spans="1:16" ht="55.5" customHeight="1" x14ac:dyDescent="0.3">
      <c r="A65" s="50">
        <v>62</v>
      </c>
      <c r="B65" s="51">
        <v>520023510062</v>
      </c>
      <c r="C65" s="50" t="s">
        <v>640</v>
      </c>
      <c r="D65" s="52" t="s">
        <v>641</v>
      </c>
      <c r="E65" s="53" t="s">
        <v>391</v>
      </c>
      <c r="F65" s="54">
        <v>45148</v>
      </c>
      <c r="G65" s="53">
        <v>537</v>
      </c>
      <c r="H65" s="53" t="s">
        <v>392</v>
      </c>
      <c r="I65" s="53" t="s">
        <v>210</v>
      </c>
      <c r="J65" s="54">
        <v>38455</v>
      </c>
      <c r="K65" s="52" t="s">
        <v>423</v>
      </c>
      <c r="L65" s="52" t="s">
        <v>530</v>
      </c>
      <c r="M65" s="52">
        <v>9003749110</v>
      </c>
      <c r="N65" s="52">
        <v>9443404047</v>
      </c>
      <c r="O65" s="52">
        <v>9486744442</v>
      </c>
      <c r="P65" s="49"/>
    </row>
    <row r="66" spans="1:16" ht="55.5" customHeight="1" x14ac:dyDescent="0.3">
      <c r="A66" s="50">
        <v>63</v>
      </c>
      <c r="B66" s="51">
        <v>520023510063</v>
      </c>
      <c r="C66" s="50" t="s">
        <v>642</v>
      </c>
      <c r="D66" s="52" t="s">
        <v>643</v>
      </c>
      <c r="E66" s="53" t="s">
        <v>397</v>
      </c>
      <c r="F66" s="54">
        <v>45170</v>
      </c>
      <c r="G66" s="53">
        <v>184</v>
      </c>
      <c r="H66" s="53" t="s">
        <v>417</v>
      </c>
      <c r="I66" s="53" t="s">
        <v>210</v>
      </c>
      <c r="J66" s="54">
        <v>37968</v>
      </c>
      <c r="K66" s="52" t="s">
        <v>644</v>
      </c>
      <c r="L66" s="52" t="s">
        <v>620</v>
      </c>
      <c r="M66" s="52">
        <v>9003806797</v>
      </c>
      <c r="N66" s="52">
        <v>9842706797</v>
      </c>
      <c r="O66" s="52">
        <v>9842515505</v>
      </c>
      <c r="P66" s="49"/>
    </row>
    <row r="67" spans="1:16" ht="55.5" customHeight="1" x14ac:dyDescent="0.3">
      <c r="A67" s="50">
        <v>64</v>
      </c>
      <c r="B67" s="51">
        <v>520023510064</v>
      </c>
      <c r="C67" s="50" t="s">
        <v>645</v>
      </c>
      <c r="D67" s="52" t="s">
        <v>646</v>
      </c>
      <c r="E67" s="53" t="s">
        <v>397</v>
      </c>
      <c r="F67" s="54">
        <v>45148</v>
      </c>
      <c r="G67" s="53">
        <v>425</v>
      </c>
      <c r="H67" s="53" t="s">
        <v>392</v>
      </c>
      <c r="I67" s="53" t="s">
        <v>44</v>
      </c>
      <c r="J67" s="54">
        <v>38565</v>
      </c>
      <c r="K67" s="52" t="s">
        <v>647</v>
      </c>
      <c r="L67" s="52" t="s">
        <v>648</v>
      </c>
      <c r="M67" s="52">
        <v>6370420498</v>
      </c>
      <c r="N67" s="52">
        <v>7418920974</v>
      </c>
      <c r="O67" s="52"/>
      <c r="P67" s="49"/>
    </row>
    <row r="68" spans="1:16" ht="55.5" customHeight="1" x14ac:dyDescent="0.3">
      <c r="A68" s="50">
        <v>65</v>
      </c>
      <c r="B68" s="51">
        <v>520023510065</v>
      </c>
      <c r="C68" s="50" t="s">
        <v>649</v>
      </c>
      <c r="D68" s="52" t="s">
        <v>650</v>
      </c>
      <c r="E68" s="53" t="s">
        <v>391</v>
      </c>
      <c r="F68" s="54">
        <v>45171</v>
      </c>
      <c r="G68" s="53">
        <v>293</v>
      </c>
      <c r="H68" s="53" t="s">
        <v>417</v>
      </c>
      <c r="I68" s="53" t="s">
        <v>517</v>
      </c>
      <c r="J68" s="54"/>
      <c r="K68" s="52" t="s">
        <v>651</v>
      </c>
      <c r="L68" s="52" t="s">
        <v>652</v>
      </c>
      <c r="M68" s="52">
        <v>8884759499</v>
      </c>
      <c r="N68" s="52">
        <v>8880889499</v>
      </c>
      <c r="O68" s="52">
        <v>9986023781</v>
      </c>
      <c r="P68" s="49"/>
    </row>
    <row r="69" spans="1:16" ht="55.5" customHeight="1" x14ac:dyDescent="0.3">
      <c r="A69" s="50">
        <v>66</v>
      </c>
      <c r="B69" s="51">
        <v>520023510066</v>
      </c>
      <c r="C69" s="50" t="s">
        <v>653</v>
      </c>
      <c r="D69" s="52" t="s">
        <v>654</v>
      </c>
      <c r="E69" s="53" t="s">
        <v>391</v>
      </c>
      <c r="F69" s="54">
        <v>45148</v>
      </c>
      <c r="G69" s="53">
        <v>533</v>
      </c>
      <c r="H69" s="53" t="s">
        <v>392</v>
      </c>
      <c r="I69" s="53" t="s">
        <v>210</v>
      </c>
      <c r="J69" s="54">
        <v>38036</v>
      </c>
      <c r="K69" s="52" t="s">
        <v>655</v>
      </c>
      <c r="L69" s="52" t="s">
        <v>656</v>
      </c>
      <c r="M69" s="52">
        <v>6369093698</v>
      </c>
      <c r="N69" s="52" t="s">
        <v>657</v>
      </c>
      <c r="O69" s="52">
        <v>9952260550</v>
      </c>
      <c r="P69" s="49"/>
    </row>
    <row r="70" spans="1:16" ht="55.5" customHeight="1" x14ac:dyDescent="0.3">
      <c r="A70" s="50">
        <v>67</v>
      </c>
      <c r="B70" s="51">
        <v>520023510067</v>
      </c>
      <c r="C70" s="50" t="s">
        <v>658</v>
      </c>
      <c r="D70" s="52" t="s">
        <v>659</v>
      </c>
      <c r="E70" s="53" t="s">
        <v>391</v>
      </c>
      <c r="F70" s="54">
        <v>45170</v>
      </c>
      <c r="G70" s="53">
        <v>534</v>
      </c>
      <c r="H70" s="53" t="s">
        <v>660</v>
      </c>
      <c r="I70" s="53" t="s">
        <v>210</v>
      </c>
      <c r="J70" s="54">
        <v>38419</v>
      </c>
      <c r="K70" s="52" t="s">
        <v>661</v>
      </c>
      <c r="L70" s="52" t="s">
        <v>662</v>
      </c>
      <c r="M70" s="52"/>
      <c r="N70" s="52">
        <v>8903942841</v>
      </c>
      <c r="O70" s="52">
        <v>9842736163</v>
      </c>
      <c r="P70" s="49"/>
    </row>
    <row r="71" spans="1:16" ht="55.5" customHeight="1" x14ac:dyDescent="0.3">
      <c r="A71" s="50">
        <v>68</v>
      </c>
      <c r="B71" s="51">
        <v>520023510068</v>
      </c>
      <c r="C71" s="50" t="s">
        <v>663</v>
      </c>
      <c r="D71" s="52" t="s">
        <v>664</v>
      </c>
      <c r="E71" s="53" t="s">
        <v>397</v>
      </c>
      <c r="F71" s="54">
        <v>45147</v>
      </c>
      <c r="G71" s="53">
        <v>429</v>
      </c>
      <c r="H71" s="53" t="s">
        <v>392</v>
      </c>
      <c r="I71" s="53" t="s">
        <v>44</v>
      </c>
      <c r="J71" s="54">
        <v>38380</v>
      </c>
      <c r="K71" s="52" t="s">
        <v>665</v>
      </c>
      <c r="L71" s="52" t="s">
        <v>666</v>
      </c>
      <c r="M71" s="52">
        <v>9345789391</v>
      </c>
      <c r="N71" s="52">
        <v>9443179361</v>
      </c>
      <c r="O71" s="52">
        <v>9443963072</v>
      </c>
      <c r="P71" s="49"/>
    </row>
    <row r="72" spans="1:16" ht="55.5" customHeight="1" x14ac:dyDescent="0.3">
      <c r="A72" s="50">
        <v>69</v>
      </c>
      <c r="B72" s="51">
        <v>520023510069</v>
      </c>
      <c r="C72" s="50" t="s">
        <v>667</v>
      </c>
      <c r="D72" s="52" t="s">
        <v>668</v>
      </c>
      <c r="E72" s="53" t="s">
        <v>397</v>
      </c>
      <c r="F72" s="54">
        <v>45171</v>
      </c>
      <c r="G72" s="53">
        <v>516</v>
      </c>
      <c r="H72" s="53" t="s">
        <v>392</v>
      </c>
      <c r="I72" s="53" t="s">
        <v>217</v>
      </c>
      <c r="J72" s="54">
        <v>38089</v>
      </c>
      <c r="K72" s="52" t="s">
        <v>669</v>
      </c>
      <c r="L72" s="52" t="s">
        <v>670</v>
      </c>
      <c r="M72" s="52">
        <v>9500311809</v>
      </c>
      <c r="N72" s="52">
        <v>9944084533</v>
      </c>
      <c r="O72" s="52">
        <v>8220088069</v>
      </c>
      <c r="P72" s="49"/>
    </row>
    <row r="73" spans="1:16" ht="55.5" customHeight="1" x14ac:dyDescent="0.3">
      <c r="A73" s="50">
        <v>70</v>
      </c>
      <c r="B73" s="51">
        <v>520023510070</v>
      </c>
      <c r="C73" s="50" t="s">
        <v>671</v>
      </c>
      <c r="D73" s="52" t="s">
        <v>672</v>
      </c>
      <c r="E73" s="53" t="s">
        <v>391</v>
      </c>
      <c r="F73" s="54">
        <v>45147</v>
      </c>
      <c r="G73" s="53">
        <v>532</v>
      </c>
      <c r="H73" s="53" t="s">
        <v>392</v>
      </c>
      <c r="I73" s="53" t="s">
        <v>210</v>
      </c>
      <c r="J73" s="54">
        <v>38025</v>
      </c>
      <c r="K73" s="52" t="s">
        <v>673</v>
      </c>
      <c r="L73" s="52" t="s">
        <v>530</v>
      </c>
      <c r="M73" s="52">
        <v>9342248611</v>
      </c>
      <c r="N73" s="52">
        <v>8056136729</v>
      </c>
      <c r="O73" s="52">
        <v>9566148039</v>
      </c>
      <c r="P73" s="49"/>
    </row>
    <row r="74" spans="1:16" ht="55.5" customHeight="1" x14ac:dyDescent="0.3">
      <c r="A74" s="50">
        <v>71</v>
      </c>
      <c r="B74" s="51">
        <v>520023510071</v>
      </c>
      <c r="C74" s="50" t="s">
        <v>674</v>
      </c>
      <c r="D74" s="52" t="s">
        <v>675</v>
      </c>
      <c r="E74" s="53" t="s">
        <v>397</v>
      </c>
      <c r="F74" s="54">
        <v>45149</v>
      </c>
      <c r="G74" s="53">
        <v>366</v>
      </c>
      <c r="H74" s="53" t="s">
        <v>402</v>
      </c>
      <c r="I74" s="53" t="s">
        <v>210</v>
      </c>
      <c r="J74" s="54">
        <v>37342</v>
      </c>
      <c r="K74" s="52" t="s">
        <v>676</v>
      </c>
      <c r="L74" s="52" t="s">
        <v>677</v>
      </c>
      <c r="M74" s="52">
        <v>7810042400</v>
      </c>
      <c r="N74" s="52"/>
      <c r="O74" s="52" t="s">
        <v>678</v>
      </c>
      <c r="P74" s="49"/>
    </row>
    <row r="75" spans="1:16" ht="55.5" customHeight="1" x14ac:dyDescent="0.3">
      <c r="A75" s="50">
        <v>72</v>
      </c>
      <c r="B75" s="51">
        <v>520023510072</v>
      </c>
      <c r="C75" s="50" t="s">
        <v>679</v>
      </c>
      <c r="D75" s="52" t="s">
        <v>680</v>
      </c>
      <c r="E75" s="53" t="s">
        <v>391</v>
      </c>
      <c r="F75" s="54">
        <v>45145</v>
      </c>
      <c r="G75" s="53">
        <v>533</v>
      </c>
      <c r="H75" s="53" t="s">
        <v>392</v>
      </c>
      <c r="I75" s="53" t="s">
        <v>210</v>
      </c>
      <c r="J75" s="54">
        <v>38353</v>
      </c>
      <c r="K75" s="52" t="s">
        <v>681</v>
      </c>
      <c r="L75" s="52" t="s">
        <v>682</v>
      </c>
      <c r="M75" s="52">
        <v>7200335890</v>
      </c>
      <c r="N75" s="52">
        <v>7200477141</v>
      </c>
      <c r="O75" s="52">
        <v>8939681798</v>
      </c>
      <c r="P75" s="49"/>
    </row>
    <row r="76" spans="1:16" ht="55.5" customHeight="1" x14ac:dyDescent="0.3">
      <c r="A76" s="50">
        <v>73</v>
      </c>
      <c r="B76" s="51">
        <v>520023510073</v>
      </c>
      <c r="C76" s="50" t="s">
        <v>683</v>
      </c>
      <c r="D76" s="52" t="s">
        <v>684</v>
      </c>
      <c r="E76" s="53" t="s">
        <v>397</v>
      </c>
      <c r="F76" s="54">
        <v>45147</v>
      </c>
      <c r="G76" s="53">
        <v>512</v>
      </c>
      <c r="H76" s="53" t="s">
        <v>392</v>
      </c>
      <c r="I76" s="53" t="s">
        <v>403</v>
      </c>
      <c r="J76" s="54">
        <v>37642</v>
      </c>
      <c r="K76" s="52" t="s">
        <v>685</v>
      </c>
      <c r="L76" s="52" t="s">
        <v>686</v>
      </c>
      <c r="M76" s="52">
        <v>6374162565</v>
      </c>
      <c r="N76" s="52">
        <v>9976790491</v>
      </c>
      <c r="O76" s="52">
        <v>6374020017</v>
      </c>
      <c r="P76" s="49"/>
    </row>
    <row r="77" spans="1:16" ht="55.5" customHeight="1" x14ac:dyDescent="0.3">
      <c r="A77" s="50">
        <v>74</v>
      </c>
      <c r="B77" s="51">
        <v>520023510074</v>
      </c>
      <c r="C77" s="50" t="s">
        <v>687</v>
      </c>
      <c r="D77" s="52" t="s">
        <v>688</v>
      </c>
      <c r="E77" s="53" t="s">
        <v>397</v>
      </c>
      <c r="F77" s="54">
        <v>45172</v>
      </c>
      <c r="G77" s="53">
        <v>533</v>
      </c>
      <c r="H77" s="53" t="s">
        <v>392</v>
      </c>
      <c r="I77" s="53" t="s">
        <v>210</v>
      </c>
      <c r="J77" s="54">
        <v>38195</v>
      </c>
      <c r="K77" s="52" t="s">
        <v>689</v>
      </c>
      <c r="L77" s="52" t="s">
        <v>690</v>
      </c>
      <c r="M77" s="52">
        <v>8124956067</v>
      </c>
      <c r="N77" s="52">
        <v>8508937472</v>
      </c>
      <c r="O77" s="52">
        <v>8508937</v>
      </c>
      <c r="P77" s="49"/>
    </row>
    <row r="78" spans="1:16" ht="55.5" customHeight="1" x14ac:dyDescent="0.3">
      <c r="A78" s="50">
        <v>75</v>
      </c>
      <c r="B78" s="51">
        <v>520023510075</v>
      </c>
      <c r="C78" s="50" t="s">
        <v>691</v>
      </c>
      <c r="D78" s="52" t="s">
        <v>692</v>
      </c>
      <c r="E78" s="53" t="s">
        <v>397</v>
      </c>
      <c r="F78" s="54">
        <v>45172</v>
      </c>
      <c r="G78" s="53">
        <v>267</v>
      </c>
      <c r="H78" s="53" t="s">
        <v>417</v>
      </c>
      <c r="I78" s="53" t="s">
        <v>210</v>
      </c>
      <c r="J78" s="54">
        <v>38324</v>
      </c>
      <c r="K78" s="52" t="s">
        <v>693</v>
      </c>
      <c r="L78" s="52" t="s">
        <v>694</v>
      </c>
      <c r="M78" s="52"/>
      <c r="N78" s="52">
        <v>9843130050</v>
      </c>
      <c r="O78" s="52">
        <v>9514870704</v>
      </c>
      <c r="P78" s="49"/>
    </row>
    <row r="79" spans="1:16" ht="55.5" customHeight="1" x14ac:dyDescent="0.3">
      <c r="A79" s="50">
        <v>76</v>
      </c>
      <c r="B79" s="51">
        <v>520023510076</v>
      </c>
      <c r="C79" s="50" t="s">
        <v>695</v>
      </c>
      <c r="D79" s="52" t="s">
        <v>696</v>
      </c>
      <c r="E79" s="53" t="s">
        <v>391</v>
      </c>
      <c r="F79" s="54">
        <v>45142</v>
      </c>
      <c r="G79" s="53">
        <v>379</v>
      </c>
      <c r="H79" s="53" t="s">
        <v>516</v>
      </c>
      <c r="I79" s="53" t="s">
        <v>403</v>
      </c>
      <c r="J79" s="54">
        <v>38410</v>
      </c>
      <c r="K79" s="52" t="s">
        <v>485</v>
      </c>
      <c r="L79" s="52" t="s">
        <v>697</v>
      </c>
      <c r="M79" s="52"/>
      <c r="N79" s="52">
        <v>9524553895</v>
      </c>
      <c r="O79" s="52"/>
      <c r="P79" s="49"/>
    </row>
    <row r="80" spans="1:16" ht="55.5" customHeight="1" x14ac:dyDescent="0.3">
      <c r="A80" s="50">
        <v>77</v>
      </c>
      <c r="B80" s="51">
        <v>520023510077</v>
      </c>
      <c r="C80" s="50" t="s">
        <v>698</v>
      </c>
      <c r="D80" s="58" t="s">
        <v>699</v>
      </c>
      <c r="E80" s="53" t="s">
        <v>391</v>
      </c>
      <c r="F80" s="54">
        <v>45173</v>
      </c>
      <c r="G80" s="53">
        <v>323</v>
      </c>
      <c r="H80" s="53" t="s">
        <v>402</v>
      </c>
      <c r="I80" s="53" t="s">
        <v>210</v>
      </c>
      <c r="J80" s="54">
        <v>38305</v>
      </c>
      <c r="K80" s="52" t="s">
        <v>700</v>
      </c>
      <c r="L80" s="52" t="s">
        <v>701</v>
      </c>
      <c r="M80" s="52">
        <v>6380898058</v>
      </c>
      <c r="N80" s="52">
        <v>7305644549</v>
      </c>
      <c r="O80" s="52">
        <v>8610576149</v>
      </c>
      <c r="P80" s="49"/>
    </row>
    <row r="81" spans="1:16" ht="55.5" customHeight="1" x14ac:dyDescent="0.3">
      <c r="A81" s="50">
        <v>78</v>
      </c>
      <c r="B81" s="51">
        <v>520023510078</v>
      </c>
      <c r="C81" s="50" t="s">
        <v>702</v>
      </c>
      <c r="D81" s="52" t="s">
        <v>703</v>
      </c>
      <c r="E81" s="53" t="s">
        <v>397</v>
      </c>
      <c r="F81" s="54">
        <v>45171</v>
      </c>
      <c r="G81" s="53">
        <v>510</v>
      </c>
      <c r="H81" s="53" t="s">
        <v>392</v>
      </c>
      <c r="I81" s="53" t="s">
        <v>517</v>
      </c>
      <c r="J81" s="54">
        <v>37959</v>
      </c>
      <c r="K81" s="52" t="s">
        <v>540</v>
      </c>
      <c r="L81" s="52" t="s">
        <v>704</v>
      </c>
      <c r="M81" s="52">
        <v>9043791853</v>
      </c>
      <c r="N81" s="52">
        <v>9943155540</v>
      </c>
      <c r="O81" s="52">
        <v>8754699350</v>
      </c>
      <c r="P81" s="49"/>
    </row>
    <row r="82" spans="1:16" ht="55.5" customHeight="1" x14ac:dyDescent="0.3">
      <c r="A82" s="50">
        <v>79</v>
      </c>
      <c r="B82" s="51">
        <v>520023510079</v>
      </c>
      <c r="C82" s="50" t="s">
        <v>705</v>
      </c>
      <c r="D82" s="52" t="s">
        <v>706</v>
      </c>
      <c r="E82" s="53" t="s">
        <v>397</v>
      </c>
      <c r="F82" s="54">
        <v>45147</v>
      </c>
      <c r="G82" s="53">
        <v>533</v>
      </c>
      <c r="H82" s="53" t="s">
        <v>392</v>
      </c>
      <c r="I82" s="53" t="s">
        <v>210</v>
      </c>
      <c r="J82" s="54">
        <v>38632</v>
      </c>
      <c r="K82" s="52" t="s">
        <v>632</v>
      </c>
      <c r="L82" s="52" t="s">
        <v>707</v>
      </c>
      <c r="M82" s="52">
        <v>9342174009</v>
      </c>
      <c r="N82" s="52">
        <v>9443165136</v>
      </c>
      <c r="O82" s="52">
        <v>9791646176</v>
      </c>
      <c r="P82" s="49"/>
    </row>
    <row r="83" spans="1:16" ht="55.5" customHeight="1" x14ac:dyDescent="0.3">
      <c r="A83" s="50">
        <v>80</v>
      </c>
      <c r="B83" s="51">
        <v>520023510080</v>
      </c>
      <c r="C83" s="50" t="s">
        <v>708</v>
      </c>
      <c r="D83" s="52" t="s">
        <v>709</v>
      </c>
      <c r="E83" s="53" t="s">
        <v>391</v>
      </c>
      <c r="F83" s="54">
        <v>45148</v>
      </c>
      <c r="G83" s="53">
        <v>424</v>
      </c>
      <c r="H83" s="53" t="s">
        <v>392</v>
      </c>
      <c r="I83" s="53" t="s">
        <v>44</v>
      </c>
      <c r="J83" s="54">
        <v>38231</v>
      </c>
      <c r="K83" s="52" t="s">
        <v>710</v>
      </c>
      <c r="L83" s="52" t="s">
        <v>711</v>
      </c>
      <c r="M83" s="52">
        <v>9443509578</v>
      </c>
      <c r="N83" s="52" t="s">
        <v>712</v>
      </c>
      <c r="O83" s="52">
        <v>8300047579</v>
      </c>
      <c r="P83" s="49"/>
    </row>
    <row r="84" spans="1:16" ht="55.5" customHeight="1" x14ac:dyDescent="0.3">
      <c r="A84" s="50">
        <v>81</v>
      </c>
      <c r="B84" s="51">
        <v>520023510081</v>
      </c>
      <c r="C84" s="50" t="s">
        <v>713</v>
      </c>
      <c r="D84" s="52" t="s">
        <v>714</v>
      </c>
      <c r="E84" s="53" t="s">
        <v>397</v>
      </c>
      <c r="F84" s="54">
        <v>45146</v>
      </c>
      <c r="G84" s="53">
        <v>544</v>
      </c>
      <c r="H84" s="53" t="s">
        <v>392</v>
      </c>
      <c r="I84" s="53" t="s">
        <v>210</v>
      </c>
      <c r="J84" s="54">
        <v>37520</v>
      </c>
      <c r="K84" s="52" t="s">
        <v>715</v>
      </c>
      <c r="L84" s="52" t="s">
        <v>716</v>
      </c>
      <c r="M84" s="52">
        <v>6381082552</v>
      </c>
      <c r="N84" s="52">
        <v>8012675799</v>
      </c>
      <c r="O84" s="52">
        <v>9025414494</v>
      </c>
      <c r="P84" s="49"/>
    </row>
    <row r="85" spans="1:16" ht="55.5" customHeight="1" x14ac:dyDescent="0.3">
      <c r="A85" s="50">
        <v>82</v>
      </c>
      <c r="B85" s="51">
        <v>520023510082</v>
      </c>
      <c r="C85" s="50" t="s">
        <v>717</v>
      </c>
      <c r="D85" s="52" t="s">
        <v>124</v>
      </c>
      <c r="E85" s="53" t="s">
        <v>391</v>
      </c>
      <c r="F85" s="54">
        <v>45171</v>
      </c>
      <c r="G85" s="53">
        <v>168</v>
      </c>
      <c r="H85" s="53" t="s">
        <v>417</v>
      </c>
      <c r="I85" s="53" t="s">
        <v>210</v>
      </c>
      <c r="J85" s="54">
        <v>38306</v>
      </c>
      <c r="K85" s="52" t="s">
        <v>685</v>
      </c>
      <c r="L85" s="52" t="s">
        <v>718</v>
      </c>
      <c r="M85" s="52">
        <v>6383847866</v>
      </c>
      <c r="N85" s="52">
        <v>9788311223</v>
      </c>
      <c r="O85" s="52"/>
      <c r="P85" s="49"/>
    </row>
    <row r="86" spans="1:16" ht="55.5" customHeight="1" x14ac:dyDescent="0.3">
      <c r="A86" s="50">
        <v>83</v>
      </c>
      <c r="B86" s="51">
        <v>520023510083</v>
      </c>
      <c r="C86" s="50" t="s">
        <v>719</v>
      </c>
      <c r="D86" s="52" t="s">
        <v>720</v>
      </c>
      <c r="E86" s="53" t="s">
        <v>391</v>
      </c>
      <c r="F86" s="54">
        <v>45148</v>
      </c>
      <c r="G86" s="53">
        <v>270</v>
      </c>
      <c r="H86" s="53" t="s">
        <v>402</v>
      </c>
      <c r="I86" s="53" t="s">
        <v>210</v>
      </c>
      <c r="J86" s="54">
        <v>38799</v>
      </c>
      <c r="K86" s="52" t="s">
        <v>721</v>
      </c>
      <c r="L86" s="52" t="s">
        <v>722</v>
      </c>
      <c r="M86" s="52">
        <v>9543817528</v>
      </c>
      <c r="N86" s="52">
        <v>9884898073</v>
      </c>
      <c r="O86" s="52">
        <v>9884874907</v>
      </c>
      <c r="P86" s="49"/>
    </row>
    <row r="87" spans="1:16" ht="55.5" customHeight="1" x14ac:dyDescent="0.3">
      <c r="A87" s="50">
        <v>84</v>
      </c>
      <c r="B87" s="51">
        <v>520023510084</v>
      </c>
      <c r="C87" s="50" t="s">
        <v>723</v>
      </c>
      <c r="D87" s="52" t="s">
        <v>724</v>
      </c>
      <c r="E87" s="53" t="s">
        <v>391</v>
      </c>
      <c r="F87" s="54">
        <v>45148</v>
      </c>
      <c r="G87" s="53">
        <v>317</v>
      </c>
      <c r="H87" s="53" t="s">
        <v>402</v>
      </c>
      <c r="I87" s="53" t="s">
        <v>222</v>
      </c>
      <c r="J87" s="54">
        <v>38354</v>
      </c>
      <c r="K87" s="52" t="s">
        <v>725</v>
      </c>
      <c r="L87" s="52" t="s">
        <v>726</v>
      </c>
      <c r="M87" s="52">
        <v>7299779999</v>
      </c>
      <c r="N87" s="52">
        <v>9841177444</v>
      </c>
      <c r="O87" s="52">
        <v>7299007999</v>
      </c>
      <c r="P87" s="49"/>
    </row>
    <row r="88" spans="1:16" ht="55.5" customHeight="1" x14ac:dyDescent="0.3">
      <c r="A88" s="50">
        <v>85</v>
      </c>
      <c r="B88" s="51">
        <v>520023510085</v>
      </c>
      <c r="C88" s="50" t="s">
        <v>727</v>
      </c>
      <c r="D88" s="52" t="s">
        <v>728</v>
      </c>
      <c r="E88" s="53" t="s">
        <v>391</v>
      </c>
      <c r="F88" s="54">
        <v>45149</v>
      </c>
      <c r="G88" s="53">
        <v>261</v>
      </c>
      <c r="H88" s="53" t="s">
        <v>402</v>
      </c>
      <c r="I88" s="53" t="s">
        <v>210</v>
      </c>
      <c r="J88" s="54">
        <v>38826</v>
      </c>
      <c r="K88" s="52" t="s">
        <v>729</v>
      </c>
      <c r="L88" s="52" t="s">
        <v>730</v>
      </c>
      <c r="M88" s="52">
        <v>9342323587</v>
      </c>
      <c r="N88" s="52">
        <v>9940668338</v>
      </c>
      <c r="O88" s="52">
        <v>9381868444</v>
      </c>
      <c r="P88" s="49"/>
    </row>
    <row r="89" spans="1:16" ht="55.5" customHeight="1" x14ac:dyDescent="0.3">
      <c r="A89" s="50">
        <v>86</v>
      </c>
      <c r="B89" s="51">
        <v>520023510086</v>
      </c>
      <c r="C89" s="50" t="s">
        <v>731</v>
      </c>
      <c r="D89" s="52" t="s">
        <v>732</v>
      </c>
      <c r="E89" s="53" t="s">
        <v>397</v>
      </c>
      <c r="F89" s="54">
        <v>45172</v>
      </c>
      <c r="G89" s="53">
        <v>163</v>
      </c>
      <c r="H89" s="53" t="s">
        <v>432</v>
      </c>
      <c r="I89" s="53" t="s">
        <v>222</v>
      </c>
      <c r="J89" s="54">
        <v>38210</v>
      </c>
      <c r="K89" s="52" t="s">
        <v>733</v>
      </c>
      <c r="L89" s="52" t="s">
        <v>734</v>
      </c>
      <c r="M89" s="52">
        <v>9894315116</v>
      </c>
      <c r="N89" s="52">
        <v>9372282265</v>
      </c>
      <c r="O89" s="52">
        <v>9952376556</v>
      </c>
      <c r="P89" s="49"/>
    </row>
    <row r="90" spans="1:16" ht="55.5" customHeight="1" x14ac:dyDescent="0.25">
      <c r="A90" s="60">
        <v>96</v>
      </c>
      <c r="B90" s="61" t="s">
        <v>362</v>
      </c>
      <c r="C90" s="62">
        <v>520022510096</v>
      </c>
      <c r="D90" s="61"/>
      <c r="E90" s="63" t="s">
        <v>391</v>
      </c>
      <c r="F90" s="64">
        <v>44572</v>
      </c>
      <c r="G90" s="63" t="s">
        <v>210</v>
      </c>
      <c r="H90" s="63">
        <v>93</v>
      </c>
      <c r="I90" s="65" t="s">
        <v>735</v>
      </c>
      <c r="J90" s="63" t="s">
        <v>736</v>
      </c>
      <c r="K90" s="66">
        <v>7395841007</v>
      </c>
      <c r="L90" s="66">
        <v>9626990849</v>
      </c>
    </row>
    <row r="91" spans="1:16" ht="55.5" customHeight="1" x14ac:dyDescent="0.3">
      <c r="A91" s="50">
        <v>87</v>
      </c>
      <c r="B91" s="51">
        <v>520023510087</v>
      </c>
      <c r="C91" s="50" t="s">
        <v>737</v>
      </c>
      <c r="D91" s="52" t="s">
        <v>738</v>
      </c>
      <c r="E91" s="53" t="s">
        <v>391</v>
      </c>
      <c r="F91" s="54">
        <v>45149</v>
      </c>
      <c r="G91" s="53">
        <v>539</v>
      </c>
      <c r="H91" s="53" t="s">
        <v>392</v>
      </c>
      <c r="I91" s="53" t="s">
        <v>210</v>
      </c>
      <c r="J91" s="54">
        <v>37132</v>
      </c>
      <c r="K91" s="52" t="s">
        <v>739</v>
      </c>
      <c r="L91" s="52" t="s">
        <v>740</v>
      </c>
      <c r="M91" s="52">
        <v>8637634711</v>
      </c>
      <c r="N91" s="52">
        <v>8489327375</v>
      </c>
      <c r="O91" s="52">
        <v>9789700201</v>
      </c>
      <c r="P91" s="49"/>
    </row>
    <row r="92" spans="1:16" ht="55.5" customHeight="1" x14ac:dyDescent="0.3">
      <c r="A92" s="50">
        <v>88</v>
      </c>
      <c r="B92" s="51">
        <v>520023510088</v>
      </c>
      <c r="C92" s="50" t="s">
        <v>741</v>
      </c>
      <c r="D92" s="52" t="s">
        <v>742</v>
      </c>
      <c r="E92" s="53" t="s">
        <v>391</v>
      </c>
      <c r="F92" s="54">
        <v>45171</v>
      </c>
      <c r="G92" s="53">
        <v>357</v>
      </c>
      <c r="H92" s="53" t="s">
        <v>516</v>
      </c>
      <c r="I92" s="53" t="s">
        <v>210</v>
      </c>
      <c r="J92" s="54">
        <v>38367</v>
      </c>
      <c r="K92" s="52" t="s">
        <v>743</v>
      </c>
      <c r="L92" s="52" t="s">
        <v>744</v>
      </c>
      <c r="M92" s="52">
        <v>9360477743</v>
      </c>
      <c r="N92" s="52">
        <v>9943902391</v>
      </c>
      <c r="O92" s="52">
        <v>8056821353</v>
      </c>
      <c r="P92" s="49"/>
    </row>
    <row r="93" spans="1:16" ht="55.5" customHeight="1" x14ac:dyDescent="0.3">
      <c r="A93" s="50">
        <v>89</v>
      </c>
      <c r="B93" s="51">
        <v>520023510089</v>
      </c>
      <c r="C93" s="50" t="s">
        <v>745</v>
      </c>
      <c r="D93" s="52" t="s">
        <v>746</v>
      </c>
      <c r="E93" s="53" t="s">
        <v>391</v>
      </c>
      <c r="F93" s="54">
        <v>45147</v>
      </c>
      <c r="G93" s="53">
        <v>376</v>
      </c>
      <c r="H93" s="53" t="s">
        <v>402</v>
      </c>
      <c r="I93" s="53" t="s">
        <v>210</v>
      </c>
      <c r="J93" s="54">
        <v>38028</v>
      </c>
      <c r="K93" s="52" t="s">
        <v>747</v>
      </c>
      <c r="L93" s="52" t="s">
        <v>748</v>
      </c>
      <c r="M93" s="52">
        <v>8610963073</v>
      </c>
      <c r="N93" s="52" t="s">
        <v>749</v>
      </c>
      <c r="O93" s="52">
        <v>9566837634</v>
      </c>
      <c r="P93" s="49"/>
    </row>
    <row r="94" spans="1:16" ht="55.5" customHeight="1" x14ac:dyDescent="0.3">
      <c r="A94" s="50">
        <v>90</v>
      </c>
      <c r="B94" s="51">
        <v>520023510090</v>
      </c>
      <c r="C94" s="50" t="s">
        <v>750</v>
      </c>
      <c r="D94" s="52" t="s">
        <v>751</v>
      </c>
      <c r="E94" s="53" t="s">
        <v>397</v>
      </c>
      <c r="F94" s="54">
        <v>45170</v>
      </c>
      <c r="G94" s="53">
        <v>160</v>
      </c>
      <c r="H94" s="53" t="s">
        <v>417</v>
      </c>
      <c r="I94" s="53" t="s">
        <v>222</v>
      </c>
      <c r="J94" s="54">
        <v>38518</v>
      </c>
      <c r="K94" s="52" t="s">
        <v>752</v>
      </c>
      <c r="L94" s="52" t="s">
        <v>753</v>
      </c>
      <c r="M94" s="52">
        <v>9786052229</v>
      </c>
      <c r="N94" s="52">
        <v>9442416564</v>
      </c>
      <c r="O94" s="52">
        <v>9585350779</v>
      </c>
      <c r="P94" s="49"/>
    </row>
    <row r="95" spans="1:16" ht="55.5" customHeight="1" x14ac:dyDescent="0.3">
      <c r="A95" s="50">
        <v>91</v>
      </c>
      <c r="B95" s="51">
        <v>520023510091</v>
      </c>
      <c r="C95" s="50" t="s">
        <v>754</v>
      </c>
      <c r="D95" s="52" t="s">
        <v>755</v>
      </c>
      <c r="E95" s="53" t="s">
        <v>391</v>
      </c>
      <c r="F95" s="54">
        <v>45173</v>
      </c>
      <c r="G95" s="53">
        <v>510</v>
      </c>
      <c r="H95" s="53" t="s">
        <v>392</v>
      </c>
      <c r="I95" s="53" t="s">
        <v>517</v>
      </c>
      <c r="J95" s="54">
        <v>38684</v>
      </c>
      <c r="K95" s="52" t="s">
        <v>756</v>
      </c>
      <c r="L95" s="52" t="s">
        <v>757</v>
      </c>
      <c r="M95" s="52">
        <v>8248180959</v>
      </c>
      <c r="N95" s="52">
        <v>8124417303</v>
      </c>
      <c r="O95" s="52">
        <v>8489675123</v>
      </c>
      <c r="P95" s="49"/>
    </row>
    <row r="96" spans="1:16" ht="55.5" customHeight="1" x14ac:dyDescent="0.3">
      <c r="A96" s="57">
        <v>92</v>
      </c>
      <c r="B96" s="51">
        <v>520023510092</v>
      </c>
      <c r="C96" s="50" t="s">
        <v>758</v>
      </c>
      <c r="D96" s="52" t="s">
        <v>759</v>
      </c>
      <c r="E96" s="53" t="s">
        <v>397</v>
      </c>
      <c r="F96" s="54">
        <v>45198</v>
      </c>
      <c r="G96" s="53">
        <v>228</v>
      </c>
      <c r="H96" s="53" t="s">
        <v>432</v>
      </c>
      <c r="I96" s="53" t="s">
        <v>371</v>
      </c>
      <c r="J96" s="54">
        <v>38165</v>
      </c>
      <c r="K96" s="52" t="s">
        <v>760</v>
      </c>
      <c r="L96" s="52" t="s">
        <v>620</v>
      </c>
      <c r="M96" s="52">
        <v>6369538843</v>
      </c>
      <c r="N96" s="52">
        <v>9443522049</v>
      </c>
      <c r="O96" s="52">
        <v>9894697549</v>
      </c>
      <c r="P96" s="49"/>
    </row>
    <row r="97" spans="1:16" ht="55.5" customHeight="1" x14ac:dyDescent="0.3">
      <c r="A97" s="57">
        <v>93</v>
      </c>
      <c r="B97" s="51">
        <v>520023510093</v>
      </c>
      <c r="C97" s="50" t="s">
        <v>761</v>
      </c>
      <c r="D97" s="58" t="s">
        <v>762</v>
      </c>
      <c r="E97" s="53" t="s">
        <v>397</v>
      </c>
      <c r="F97" s="54">
        <v>45145</v>
      </c>
      <c r="G97" s="53">
        <v>543</v>
      </c>
      <c r="H97" s="53" t="s">
        <v>392</v>
      </c>
      <c r="I97" s="53" t="s">
        <v>210</v>
      </c>
      <c r="J97" s="54">
        <v>38137</v>
      </c>
      <c r="K97" s="52" t="s">
        <v>763</v>
      </c>
      <c r="L97" s="52" t="s">
        <v>764</v>
      </c>
      <c r="M97" s="52">
        <v>9099908252</v>
      </c>
      <c r="N97" s="52">
        <v>9898159748</v>
      </c>
      <c r="O97" s="52">
        <v>8610283752</v>
      </c>
      <c r="P97" s="49"/>
    </row>
    <row r="98" spans="1:16" ht="55.5" customHeight="1" x14ac:dyDescent="0.3">
      <c r="A98" s="57">
        <v>94</v>
      </c>
      <c r="B98" s="51">
        <v>520023510094</v>
      </c>
      <c r="C98" s="50" t="s">
        <v>765</v>
      </c>
      <c r="D98" s="52" t="s">
        <v>766</v>
      </c>
      <c r="E98" s="53" t="s">
        <v>391</v>
      </c>
      <c r="F98" s="54">
        <v>45148</v>
      </c>
      <c r="G98" s="53"/>
      <c r="H98" s="53" t="s">
        <v>402</v>
      </c>
      <c r="I98" s="53" t="s">
        <v>210</v>
      </c>
      <c r="J98" s="54">
        <v>38162</v>
      </c>
      <c r="K98" s="52" t="s">
        <v>767</v>
      </c>
      <c r="L98" s="52" t="s">
        <v>768</v>
      </c>
      <c r="M98" s="52">
        <v>7010597260</v>
      </c>
      <c r="N98" s="52">
        <v>9943291219</v>
      </c>
      <c r="O98" s="52">
        <v>8015564109</v>
      </c>
      <c r="P98" s="49"/>
    </row>
    <row r="99" spans="1:16" ht="55.5" customHeight="1" x14ac:dyDescent="0.3">
      <c r="A99" s="57">
        <v>95</v>
      </c>
      <c r="B99" s="51">
        <v>520023510095</v>
      </c>
      <c r="C99" s="50" t="s">
        <v>769</v>
      </c>
      <c r="D99" s="52" t="s">
        <v>770</v>
      </c>
      <c r="E99" s="53" t="s">
        <v>397</v>
      </c>
      <c r="F99" s="54">
        <v>45142</v>
      </c>
      <c r="G99" s="53">
        <v>362</v>
      </c>
      <c r="H99" s="53" t="s">
        <v>516</v>
      </c>
      <c r="I99" s="53" t="s">
        <v>210</v>
      </c>
      <c r="J99" s="54">
        <v>36319</v>
      </c>
      <c r="K99" s="52" t="s">
        <v>771</v>
      </c>
      <c r="L99" s="52" t="s">
        <v>772</v>
      </c>
      <c r="M99" s="52">
        <v>6381539248</v>
      </c>
      <c r="N99" s="52">
        <v>9444225765</v>
      </c>
      <c r="O99" s="52"/>
      <c r="P99" s="49"/>
    </row>
    <row r="100" spans="1:16" ht="55.5" customHeight="1" x14ac:dyDescent="0.3">
      <c r="A100" s="57">
        <v>96</v>
      </c>
      <c r="B100" s="51">
        <v>520023510096</v>
      </c>
      <c r="C100" s="50" t="s">
        <v>773</v>
      </c>
      <c r="D100" s="52" t="s">
        <v>774</v>
      </c>
      <c r="E100" s="53" t="s">
        <v>391</v>
      </c>
      <c r="F100" s="54">
        <v>45172</v>
      </c>
      <c r="G100" s="53">
        <v>531</v>
      </c>
      <c r="H100" s="53" t="s">
        <v>392</v>
      </c>
      <c r="I100" s="53" t="s">
        <v>210</v>
      </c>
      <c r="J100" s="54">
        <v>38580</v>
      </c>
      <c r="K100" s="52" t="s">
        <v>775</v>
      </c>
      <c r="L100" s="52" t="s">
        <v>776</v>
      </c>
      <c r="M100" s="52">
        <v>8015221278</v>
      </c>
      <c r="N100" s="52">
        <v>8903980066</v>
      </c>
      <c r="O100" s="52"/>
      <c r="P100" s="49"/>
    </row>
    <row r="101" spans="1:16" ht="55.5" customHeight="1" x14ac:dyDescent="0.3">
      <c r="A101" s="57">
        <v>97</v>
      </c>
      <c r="B101" s="51">
        <v>520023510097</v>
      </c>
      <c r="C101" s="50" t="s">
        <v>777</v>
      </c>
      <c r="D101" s="52" t="s">
        <v>778</v>
      </c>
      <c r="E101" s="53" t="s">
        <v>391</v>
      </c>
      <c r="F101" s="54">
        <v>45145</v>
      </c>
      <c r="G101" s="53">
        <v>199</v>
      </c>
      <c r="H101" s="53" t="s">
        <v>402</v>
      </c>
      <c r="I101" s="53" t="s">
        <v>210</v>
      </c>
      <c r="J101" s="54">
        <v>38356</v>
      </c>
      <c r="K101" s="52" t="s">
        <v>779</v>
      </c>
      <c r="L101" s="52" t="s">
        <v>780</v>
      </c>
      <c r="M101" s="52">
        <v>8144499981</v>
      </c>
      <c r="N101" s="52" t="s">
        <v>781</v>
      </c>
      <c r="O101" s="52">
        <v>9445922438</v>
      </c>
      <c r="P101" s="49"/>
    </row>
    <row r="102" spans="1:16" ht="55.5" customHeight="1" x14ac:dyDescent="0.3">
      <c r="A102" s="57">
        <v>98</v>
      </c>
      <c r="B102" s="51">
        <v>520023510098</v>
      </c>
      <c r="C102" s="50" t="s">
        <v>782</v>
      </c>
      <c r="D102" s="52" t="s">
        <v>783</v>
      </c>
      <c r="E102" s="53" t="s">
        <v>391</v>
      </c>
      <c r="F102" s="54">
        <v>45245</v>
      </c>
      <c r="G102" s="53">
        <v>262</v>
      </c>
      <c r="H102" s="53" t="s">
        <v>432</v>
      </c>
      <c r="I102" s="53" t="s">
        <v>28</v>
      </c>
      <c r="J102" s="54">
        <v>38712</v>
      </c>
      <c r="K102" s="52" t="s">
        <v>784</v>
      </c>
      <c r="L102" s="52" t="s">
        <v>785</v>
      </c>
      <c r="M102" s="52">
        <v>8925652105</v>
      </c>
      <c r="N102" s="52">
        <v>7904547341</v>
      </c>
      <c r="O102" s="52">
        <v>6374618601</v>
      </c>
      <c r="P102" s="49"/>
    </row>
    <row r="103" spans="1:16" ht="55.5" customHeight="1" x14ac:dyDescent="0.3">
      <c r="A103" s="57">
        <v>99</v>
      </c>
      <c r="B103" s="51">
        <v>520023510099</v>
      </c>
      <c r="C103" s="50" t="s">
        <v>786</v>
      </c>
      <c r="D103" s="52" t="s">
        <v>787</v>
      </c>
      <c r="E103" s="53" t="s">
        <v>391</v>
      </c>
      <c r="F103" s="54">
        <v>45172</v>
      </c>
      <c r="G103" s="53">
        <v>532</v>
      </c>
      <c r="H103" s="53" t="s">
        <v>392</v>
      </c>
      <c r="I103" s="53" t="s">
        <v>210</v>
      </c>
      <c r="J103" s="54">
        <v>38493</v>
      </c>
      <c r="K103" s="52" t="s">
        <v>578</v>
      </c>
      <c r="L103" s="52" t="s">
        <v>677</v>
      </c>
      <c r="M103" s="52">
        <v>7418953919</v>
      </c>
      <c r="N103" s="52">
        <v>9443708994</v>
      </c>
      <c r="O103" s="52">
        <v>7598283260</v>
      </c>
      <c r="P103" s="49"/>
    </row>
    <row r="104" spans="1:16" ht="55.5" customHeight="1" x14ac:dyDescent="0.3">
      <c r="A104" s="57">
        <v>100</v>
      </c>
      <c r="B104" s="51">
        <v>520023510100</v>
      </c>
      <c r="C104" s="50" t="s">
        <v>788</v>
      </c>
      <c r="D104" s="52" t="s">
        <v>789</v>
      </c>
      <c r="E104" s="53" t="s">
        <v>397</v>
      </c>
      <c r="F104" s="54">
        <v>45171</v>
      </c>
      <c r="G104" s="53">
        <v>288</v>
      </c>
      <c r="H104" s="53" t="s">
        <v>417</v>
      </c>
      <c r="I104" s="53" t="s">
        <v>44</v>
      </c>
      <c r="J104" s="54">
        <v>38410</v>
      </c>
      <c r="K104" s="52" t="s">
        <v>790</v>
      </c>
      <c r="L104" s="52" t="s">
        <v>791</v>
      </c>
      <c r="M104" s="52"/>
      <c r="N104" s="52">
        <v>9488996935</v>
      </c>
      <c r="O104" s="52">
        <v>8667090186</v>
      </c>
      <c r="P104" s="49"/>
    </row>
    <row r="105" spans="1:16" ht="55.5" customHeight="1" x14ac:dyDescent="0.3">
      <c r="A105" s="57">
        <v>101</v>
      </c>
      <c r="B105" s="51">
        <v>520023510101</v>
      </c>
      <c r="C105" s="50" t="s">
        <v>792</v>
      </c>
      <c r="D105" s="52" t="s">
        <v>793</v>
      </c>
      <c r="E105" s="53" t="s">
        <v>397</v>
      </c>
      <c r="F105" s="54">
        <v>45148</v>
      </c>
      <c r="G105" s="53">
        <v>447</v>
      </c>
      <c r="H105" s="53" t="s">
        <v>660</v>
      </c>
      <c r="I105" s="53" t="s">
        <v>222</v>
      </c>
      <c r="J105" s="54">
        <v>38221</v>
      </c>
      <c r="K105" s="52" t="s">
        <v>794</v>
      </c>
      <c r="L105" s="52" t="s">
        <v>795</v>
      </c>
      <c r="M105" s="52">
        <v>9087125536</v>
      </c>
      <c r="N105" s="52">
        <v>7373011811</v>
      </c>
      <c r="O105" s="52">
        <v>9788307846</v>
      </c>
      <c r="P105" s="49"/>
    </row>
    <row r="106" spans="1:16" ht="55.5" customHeight="1" x14ac:dyDescent="0.3">
      <c r="A106" s="57">
        <v>102</v>
      </c>
      <c r="B106" s="51">
        <v>520023510102</v>
      </c>
      <c r="C106" s="50" t="s">
        <v>796</v>
      </c>
      <c r="D106" s="52" t="s">
        <v>797</v>
      </c>
      <c r="E106" s="53" t="s">
        <v>397</v>
      </c>
      <c r="F106" s="54">
        <v>45149</v>
      </c>
      <c r="G106" s="53">
        <v>303</v>
      </c>
      <c r="H106" s="53" t="s">
        <v>402</v>
      </c>
      <c r="I106" s="53" t="s">
        <v>403</v>
      </c>
      <c r="J106" s="54">
        <v>38575</v>
      </c>
      <c r="K106" s="52" t="s">
        <v>540</v>
      </c>
      <c r="L106" s="52" t="s">
        <v>798</v>
      </c>
      <c r="M106" s="52">
        <v>7397176536</v>
      </c>
      <c r="N106" s="52">
        <v>7373710003</v>
      </c>
      <c r="O106" s="52">
        <v>9843009880</v>
      </c>
      <c r="P106" s="49"/>
    </row>
    <row r="107" spans="1:16" ht="55.5" customHeight="1" x14ac:dyDescent="0.3">
      <c r="A107" s="57">
        <v>103</v>
      </c>
      <c r="B107" s="51">
        <v>520023510103</v>
      </c>
      <c r="C107" s="50" t="s">
        <v>799</v>
      </c>
      <c r="D107" s="52" t="s">
        <v>800</v>
      </c>
      <c r="E107" s="53" t="s">
        <v>391</v>
      </c>
      <c r="F107" s="54">
        <v>45174</v>
      </c>
      <c r="G107" s="53">
        <v>250</v>
      </c>
      <c r="H107" s="53" t="s">
        <v>432</v>
      </c>
      <c r="I107" s="53" t="s">
        <v>217</v>
      </c>
      <c r="J107" s="54">
        <v>38258</v>
      </c>
      <c r="K107" s="52" t="s">
        <v>801</v>
      </c>
      <c r="L107" s="52" t="s">
        <v>802</v>
      </c>
      <c r="M107" s="52"/>
      <c r="N107" s="52">
        <v>9443038948</v>
      </c>
      <c r="O107" s="52">
        <v>7708519217</v>
      </c>
      <c r="P107" s="49"/>
    </row>
    <row r="108" spans="1:16" ht="55.5" customHeight="1" x14ac:dyDescent="0.3">
      <c r="A108" s="57">
        <v>104</v>
      </c>
      <c r="B108" s="51">
        <v>520023510104</v>
      </c>
      <c r="C108" s="50" t="s">
        <v>803</v>
      </c>
      <c r="D108" s="52" t="s">
        <v>804</v>
      </c>
      <c r="E108" s="53" t="s">
        <v>391</v>
      </c>
      <c r="F108" s="54">
        <v>45148</v>
      </c>
      <c r="G108" s="53">
        <v>539</v>
      </c>
      <c r="H108" s="53" t="s">
        <v>392</v>
      </c>
      <c r="I108" s="53" t="s">
        <v>210</v>
      </c>
      <c r="J108" s="54">
        <v>38483</v>
      </c>
      <c r="K108" s="52" t="s">
        <v>805</v>
      </c>
      <c r="L108" s="52" t="s">
        <v>806</v>
      </c>
      <c r="M108" s="52">
        <v>9965313444</v>
      </c>
      <c r="N108" s="52" t="s">
        <v>807</v>
      </c>
      <c r="O108" s="52">
        <v>9489450060</v>
      </c>
      <c r="P108" s="49"/>
    </row>
    <row r="109" spans="1:16" ht="55.5" customHeight="1" x14ac:dyDescent="0.3">
      <c r="A109" s="57">
        <v>105</v>
      </c>
      <c r="B109" s="51">
        <v>520023510105</v>
      </c>
      <c r="C109" s="50" t="s">
        <v>808</v>
      </c>
      <c r="D109" s="52" t="s">
        <v>809</v>
      </c>
      <c r="E109" s="53" t="s">
        <v>397</v>
      </c>
      <c r="F109" s="54">
        <v>45149</v>
      </c>
      <c r="G109" s="53">
        <v>347</v>
      </c>
      <c r="H109" s="53" t="s">
        <v>392</v>
      </c>
      <c r="I109" s="53" t="s">
        <v>88</v>
      </c>
      <c r="J109" s="54">
        <v>37602</v>
      </c>
      <c r="K109" s="52" t="s">
        <v>810</v>
      </c>
      <c r="L109" s="52" t="s">
        <v>811</v>
      </c>
      <c r="M109" s="52">
        <v>9514046490</v>
      </c>
      <c r="N109" s="52"/>
      <c r="O109" s="52">
        <v>7639312334</v>
      </c>
      <c r="P109" s="49"/>
    </row>
    <row r="110" spans="1:16" ht="55.5" customHeight="1" x14ac:dyDescent="0.3">
      <c r="A110" s="57">
        <v>106</v>
      </c>
      <c r="B110" s="51">
        <v>520023510106</v>
      </c>
      <c r="C110" s="50" t="s">
        <v>812</v>
      </c>
      <c r="D110" s="52" t="s">
        <v>813</v>
      </c>
      <c r="E110" s="53" t="s">
        <v>391</v>
      </c>
      <c r="F110" s="54">
        <v>45172</v>
      </c>
      <c r="G110" s="53">
        <v>365</v>
      </c>
      <c r="H110" s="53" t="s">
        <v>417</v>
      </c>
      <c r="I110" s="53" t="s">
        <v>210</v>
      </c>
      <c r="J110" s="54">
        <v>37575</v>
      </c>
      <c r="K110" s="52" t="s">
        <v>814</v>
      </c>
      <c r="L110" s="52" t="s">
        <v>744</v>
      </c>
      <c r="M110" s="52">
        <v>7604828687</v>
      </c>
      <c r="N110" s="52">
        <v>9943696555</v>
      </c>
      <c r="O110" s="52">
        <v>6374533240</v>
      </c>
      <c r="P110" s="49"/>
    </row>
    <row r="111" spans="1:16" ht="55.5" customHeight="1" x14ac:dyDescent="0.3">
      <c r="A111" s="57">
        <v>107</v>
      </c>
      <c r="B111" s="51">
        <v>520023510107</v>
      </c>
      <c r="C111" s="50" t="s">
        <v>815</v>
      </c>
      <c r="D111" s="52" t="s">
        <v>816</v>
      </c>
      <c r="E111" s="53" t="s">
        <v>397</v>
      </c>
      <c r="F111" s="54">
        <v>45149</v>
      </c>
      <c r="G111" s="53">
        <v>238</v>
      </c>
      <c r="H111" s="53" t="s">
        <v>402</v>
      </c>
      <c r="I111" s="53" t="s">
        <v>210</v>
      </c>
      <c r="J111" s="54">
        <v>38205</v>
      </c>
      <c r="K111" s="52" t="s">
        <v>665</v>
      </c>
      <c r="L111" s="52" t="s">
        <v>806</v>
      </c>
      <c r="M111" s="52">
        <v>7530046603</v>
      </c>
      <c r="N111" s="52">
        <v>9952134781</v>
      </c>
      <c r="O111" s="52"/>
      <c r="P111" s="49"/>
    </row>
    <row r="112" spans="1:16" s="73" customFormat="1" ht="55.5" customHeight="1" x14ac:dyDescent="0.3">
      <c r="A112" s="67">
        <v>108</v>
      </c>
      <c r="B112" s="68">
        <v>520023510108</v>
      </c>
      <c r="C112" s="67" t="s">
        <v>817</v>
      </c>
      <c r="D112" s="69" t="s">
        <v>818</v>
      </c>
      <c r="E112" s="70" t="s">
        <v>397</v>
      </c>
      <c r="F112" s="71">
        <v>45171</v>
      </c>
      <c r="G112" s="70">
        <v>431</v>
      </c>
      <c r="H112" s="70" t="s">
        <v>392</v>
      </c>
      <c r="I112" s="70" t="s">
        <v>44</v>
      </c>
      <c r="J112" s="71">
        <v>38402</v>
      </c>
      <c r="K112" s="69" t="s">
        <v>819</v>
      </c>
      <c r="L112" s="69" t="s">
        <v>730</v>
      </c>
      <c r="M112" s="69">
        <v>9585310977</v>
      </c>
      <c r="N112" s="69">
        <v>7539942042</v>
      </c>
      <c r="O112" s="69">
        <v>9003306881</v>
      </c>
      <c r="P112" s="72"/>
    </row>
    <row r="113" spans="1:16" ht="55.5" customHeight="1" x14ac:dyDescent="0.3">
      <c r="A113" s="57">
        <v>109</v>
      </c>
      <c r="B113" s="51">
        <v>520023510109</v>
      </c>
      <c r="C113" s="50" t="s">
        <v>820</v>
      </c>
      <c r="D113" s="52" t="s">
        <v>821</v>
      </c>
      <c r="E113" s="53" t="s">
        <v>397</v>
      </c>
      <c r="F113" s="54">
        <v>45147</v>
      </c>
      <c r="G113" s="53">
        <v>539</v>
      </c>
      <c r="H113" s="53" t="s">
        <v>392</v>
      </c>
      <c r="I113" s="53" t="s">
        <v>210</v>
      </c>
      <c r="J113" s="54">
        <v>37786</v>
      </c>
      <c r="K113" s="52" t="s">
        <v>822</v>
      </c>
      <c r="L113" s="52" t="s">
        <v>823</v>
      </c>
      <c r="M113" s="52">
        <v>9655729725</v>
      </c>
      <c r="N113" s="52">
        <v>9585237684</v>
      </c>
      <c r="O113" s="52">
        <v>8270809725</v>
      </c>
      <c r="P113" s="49"/>
    </row>
    <row r="114" spans="1:16" ht="55.5" customHeight="1" x14ac:dyDescent="0.3">
      <c r="A114" s="57">
        <v>110</v>
      </c>
      <c r="B114" s="51">
        <v>520023510110</v>
      </c>
      <c r="C114" s="50" t="s">
        <v>824</v>
      </c>
      <c r="D114" s="52" t="s">
        <v>825</v>
      </c>
      <c r="E114" s="53" t="s">
        <v>391</v>
      </c>
      <c r="F114" s="54">
        <v>45146</v>
      </c>
      <c r="G114" s="53">
        <v>515</v>
      </c>
      <c r="H114" s="53" t="s">
        <v>392</v>
      </c>
      <c r="I114" s="53" t="s">
        <v>403</v>
      </c>
      <c r="J114" s="54">
        <v>37494</v>
      </c>
      <c r="K114" s="52" t="s">
        <v>826</v>
      </c>
      <c r="L114" s="52" t="s">
        <v>827</v>
      </c>
      <c r="M114" s="52"/>
      <c r="N114" s="52">
        <v>9489847425</v>
      </c>
      <c r="O114" s="52">
        <v>9597538889</v>
      </c>
      <c r="P114" s="49"/>
    </row>
    <row r="115" spans="1:16" ht="55.5" customHeight="1" x14ac:dyDescent="0.3">
      <c r="A115" s="57">
        <v>111</v>
      </c>
      <c r="B115" s="51">
        <v>520023510111</v>
      </c>
      <c r="C115" s="50" t="s">
        <v>828</v>
      </c>
      <c r="D115" s="52" t="s">
        <v>829</v>
      </c>
      <c r="E115" s="53" t="s">
        <v>391</v>
      </c>
      <c r="F115" s="54">
        <v>45173</v>
      </c>
      <c r="G115" s="53">
        <v>188</v>
      </c>
      <c r="H115" s="53" t="s">
        <v>417</v>
      </c>
      <c r="I115" s="53" t="s">
        <v>210</v>
      </c>
      <c r="J115" s="54">
        <v>38505</v>
      </c>
      <c r="K115" s="52" t="s">
        <v>830</v>
      </c>
      <c r="L115" s="52" t="s">
        <v>831</v>
      </c>
      <c r="M115" s="52">
        <v>8668065087</v>
      </c>
      <c r="N115" s="52"/>
      <c r="O115" s="52" t="s">
        <v>832</v>
      </c>
      <c r="P115" s="49"/>
    </row>
    <row r="116" spans="1:16" ht="55.5" customHeight="1" x14ac:dyDescent="0.3">
      <c r="A116" s="57">
        <v>112</v>
      </c>
      <c r="B116" s="51">
        <v>520023510112</v>
      </c>
      <c r="C116" s="50" t="s">
        <v>833</v>
      </c>
      <c r="D116" s="52" t="s">
        <v>834</v>
      </c>
      <c r="E116" s="53" t="s">
        <v>391</v>
      </c>
      <c r="F116" s="54">
        <v>45146</v>
      </c>
      <c r="G116" s="53">
        <v>224</v>
      </c>
      <c r="H116" s="53" t="s">
        <v>402</v>
      </c>
      <c r="I116" s="53" t="s">
        <v>222</v>
      </c>
      <c r="J116" s="54">
        <v>37942</v>
      </c>
      <c r="K116" s="52" t="s">
        <v>835</v>
      </c>
      <c r="L116" s="52" t="s">
        <v>836</v>
      </c>
      <c r="M116" s="52">
        <v>7598096101</v>
      </c>
      <c r="N116" s="52">
        <v>7871696101</v>
      </c>
      <c r="O116" s="52">
        <v>9442310667</v>
      </c>
      <c r="P116" s="49"/>
    </row>
    <row r="117" spans="1:16" ht="55.5" customHeight="1" x14ac:dyDescent="0.3">
      <c r="A117" s="57">
        <v>113</v>
      </c>
      <c r="B117" s="51">
        <v>520023510113</v>
      </c>
      <c r="C117" s="50" t="s">
        <v>837</v>
      </c>
      <c r="D117" s="52" t="s">
        <v>838</v>
      </c>
      <c r="E117" s="53" t="s">
        <v>391</v>
      </c>
      <c r="F117" s="54">
        <v>45173</v>
      </c>
      <c r="G117" s="53">
        <v>175</v>
      </c>
      <c r="H117" s="53" t="s">
        <v>417</v>
      </c>
      <c r="I117" s="53" t="s">
        <v>210</v>
      </c>
      <c r="J117" s="54">
        <v>38147</v>
      </c>
      <c r="K117" s="52" t="s">
        <v>465</v>
      </c>
      <c r="L117" s="52" t="s">
        <v>839</v>
      </c>
      <c r="M117" s="52">
        <v>7904724485</v>
      </c>
      <c r="N117" s="52">
        <v>9962598882</v>
      </c>
      <c r="O117" s="52">
        <v>9962026077</v>
      </c>
      <c r="P117" s="49"/>
    </row>
    <row r="118" spans="1:16" ht="55.5" customHeight="1" x14ac:dyDescent="0.3">
      <c r="A118" s="57">
        <v>114</v>
      </c>
      <c r="B118" s="51">
        <v>520023510114</v>
      </c>
      <c r="C118" s="50" t="s">
        <v>840</v>
      </c>
      <c r="D118" s="52" t="s">
        <v>841</v>
      </c>
      <c r="E118" s="53" t="s">
        <v>391</v>
      </c>
      <c r="F118" s="54">
        <v>45145</v>
      </c>
      <c r="G118" s="53">
        <v>264</v>
      </c>
      <c r="H118" s="53" t="s">
        <v>402</v>
      </c>
      <c r="I118" s="53" t="s">
        <v>210</v>
      </c>
      <c r="J118" s="54">
        <v>38585</v>
      </c>
      <c r="K118" s="52" t="s">
        <v>842</v>
      </c>
      <c r="L118" s="52" t="s">
        <v>575</v>
      </c>
      <c r="M118" s="52">
        <v>9952588341</v>
      </c>
      <c r="N118" s="52">
        <v>8903278341</v>
      </c>
      <c r="O118" s="52">
        <v>8248212093</v>
      </c>
      <c r="P118" s="49"/>
    </row>
    <row r="119" spans="1:16" ht="55.5" customHeight="1" x14ac:dyDescent="0.3">
      <c r="A119" s="57">
        <v>115</v>
      </c>
      <c r="B119" s="51">
        <v>520023510115</v>
      </c>
      <c r="C119" s="50" t="s">
        <v>843</v>
      </c>
      <c r="D119" s="52" t="s">
        <v>844</v>
      </c>
      <c r="E119" s="53" t="s">
        <v>391</v>
      </c>
      <c r="F119" s="54">
        <v>45171</v>
      </c>
      <c r="G119" s="53">
        <v>138</v>
      </c>
      <c r="H119" s="53" t="s">
        <v>432</v>
      </c>
      <c r="I119" s="53" t="s">
        <v>222</v>
      </c>
      <c r="J119" s="54">
        <v>38286</v>
      </c>
      <c r="K119" s="52" t="s">
        <v>845</v>
      </c>
      <c r="L119" s="52" t="s">
        <v>846</v>
      </c>
      <c r="M119" s="52">
        <v>9908822640</v>
      </c>
      <c r="N119" s="52">
        <v>8919730120</v>
      </c>
      <c r="O119" s="52">
        <v>9959078737</v>
      </c>
      <c r="P119" s="49"/>
    </row>
    <row r="120" spans="1:16" ht="55.5" customHeight="1" x14ac:dyDescent="0.3">
      <c r="A120" s="57">
        <v>116</v>
      </c>
      <c r="B120" s="51">
        <v>520023510116</v>
      </c>
      <c r="C120" s="50" t="s">
        <v>847</v>
      </c>
      <c r="D120" s="52" t="s">
        <v>848</v>
      </c>
      <c r="E120" s="53" t="s">
        <v>391</v>
      </c>
      <c r="F120" s="54">
        <v>45170</v>
      </c>
      <c r="G120" s="53">
        <v>442</v>
      </c>
      <c r="H120" s="53" t="s">
        <v>392</v>
      </c>
      <c r="I120" s="53" t="s">
        <v>44</v>
      </c>
      <c r="J120" s="54">
        <v>38121</v>
      </c>
      <c r="K120" s="52" t="s">
        <v>849</v>
      </c>
      <c r="L120" s="52" t="s">
        <v>850</v>
      </c>
      <c r="M120" s="52">
        <v>6380458761</v>
      </c>
      <c r="N120" s="52">
        <v>9894838303</v>
      </c>
      <c r="O120" s="52">
        <v>9994293586</v>
      </c>
      <c r="P120" s="49"/>
    </row>
    <row r="121" spans="1:16" ht="55.5" customHeight="1" x14ac:dyDescent="0.3">
      <c r="A121" s="57">
        <v>122</v>
      </c>
      <c r="B121" s="51">
        <v>520023510117</v>
      </c>
      <c r="C121" s="50" t="s">
        <v>851</v>
      </c>
      <c r="D121" s="52" t="s">
        <v>852</v>
      </c>
      <c r="E121" s="53" t="s">
        <v>391</v>
      </c>
      <c r="F121" s="54">
        <v>45175</v>
      </c>
      <c r="G121" s="53">
        <v>170</v>
      </c>
      <c r="H121" s="53" t="s">
        <v>432</v>
      </c>
      <c r="I121" s="53" t="s">
        <v>418</v>
      </c>
      <c r="J121" s="54">
        <v>37877</v>
      </c>
      <c r="K121" s="52" t="s">
        <v>853</v>
      </c>
      <c r="L121" s="52" t="s">
        <v>854</v>
      </c>
      <c r="M121" s="52">
        <v>8754469192</v>
      </c>
      <c r="N121" s="52">
        <v>9629699800</v>
      </c>
      <c r="O121" s="52">
        <v>9629835700</v>
      </c>
      <c r="P121" s="49"/>
    </row>
    <row r="122" spans="1:16" ht="55.5" customHeight="1" x14ac:dyDescent="0.3">
      <c r="A122" s="57">
        <v>118</v>
      </c>
      <c r="B122" s="51">
        <v>520023510118</v>
      </c>
      <c r="C122" s="50" t="s">
        <v>855</v>
      </c>
      <c r="D122" s="52" t="s">
        <v>856</v>
      </c>
      <c r="E122" s="53" t="s">
        <v>391</v>
      </c>
      <c r="F122" s="54">
        <v>45171</v>
      </c>
      <c r="G122" s="53">
        <v>448</v>
      </c>
      <c r="H122" s="53" t="s">
        <v>417</v>
      </c>
      <c r="I122" s="53" t="s">
        <v>418</v>
      </c>
      <c r="J122" s="54">
        <v>38162</v>
      </c>
      <c r="K122" s="52" t="s">
        <v>857</v>
      </c>
      <c r="L122" s="52" t="s">
        <v>686</v>
      </c>
      <c r="M122" s="52">
        <v>8012459341</v>
      </c>
      <c r="N122" s="52">
        <v>7639994341</v>
      </c>
      <c r="O122" s="52">
        <v>9047999341</v>
      </c>
      <c r="P122" s="49"/>
    </row>
    <row r="123" spans="1:16" ht="55.5" customHeight="1" x14ac:dyDescent="0.3">
      <c r="A123" s="57">
        <v>119</v>
      </c>
      <c r="B123" s="51">
        <v>520023510119</v>
      </c>
      <c r="C123" s="50" t="s">
        <v>858</v>
      </c>
      <c r="D123" s="52" t="s">
        <v>859</v>
      </c>
      <c r="E123" s="53" t="s">
        <v>391</v>
      </c>
      <c r="F123" s="54">
        <v>45173</v>
      </c>
      <c r="G123" s="53">
        <v>141</v>
      </c>
      <c r="H123" s="53" t="s">
        <v>432</v>
      </c>
      <c r="I123" s="53" t="s">
        <v>44</v>
      </c>
      <c r="J123" s="54">
        <v>38722</v>
      </c>
      <c r="K123" s="52" t="s">
        <v>860</v>
      </c>
      <c r="L123" s="52" t="s">
        <v>861</v>
      </c>
      <c r="M123" s="52">
        <v>9626892413</v>
      </c>
      <c r="N123" s="52">
        <v>9566624776</v>
      </c>
      <c r="O123" s="52">
        <v>9597203722</v>
      </c>
      <c r="P123" s="49"/>
    </row>
    <row r="124" spans="1:16" ht="55.5" customHeight="1" x14ac:dyDescent="0.3">
      <c r="A124" s="57">
        <v>120</v>
      </c>
      <c r="B124" s="51">
        <v>520023510120</v>
      </c>
      <c r="C124" s="50" t="s">
        <v>862</v>
      </c>
      <c r="D124" s="52" t="s">
        <v>863</v>
      </c>
      <c r="E124" s="53" t="s">
        <v>397</v>
      </c>
      <c r="F124" s="54">
        <v>45145</v>
      </c>
      <c r="G124" s="53">
        <v>535</v>
      </c>
      <c r="H124" s="53" t="s">
        <v>392</v>
      </c>
      <c r="I124" s="53" t="s">
        <v>210</v>
      </c>
      <c r="J124" s="54">
        <v>38418</v>
      </c>
      <c r="K124" s="52" t="s">
        <v>864</v>
      </c>
      <c r="L124" s="52" t="s">
        <v>865</v>
      </c>
      <c r="M124" s="52">
        <v>9489552344</v>
      </c>
      <c r="N124" s="52">
        <v>9262090021</v>
      </c>
      <c r="O124" s="52">
        <v>9443160444</v>
      </c>
      <c r="P124" s="49"/>
    </row>
    <row r="125" spans="1:16" ht="55.5" customHeight="1" x14ac:dyDescent="0.3">
      <c r="A125" s="57">
        <v>121</v>
      </c>
      <c r="B125" s="51">
        <v>520023510121</v>
      </c>
      <c r="C125" s="50" t="s">
        <v>866</v>
      </c>
      <c r="D125" s="52" t="s">
        <v>867</v>
      </c>
      <c r="E125" s="53" t="s">
        <v>391</v>
      </c>
      <c r="F125" s="54">
        <v>45149</v>
      </c>
      <c r="G125" s="53">
        <v>232</v>
      </c>
      <c r="H125" s="53" t="s">
        <v>402</v>
      </c>
      <c r="I125" s="53" t="s">
        <v>210</v>
      </c>
      <c r="J125" s="54">
        <v>38383</v>
      </c>
      <c r="K125" s="52" t="s">
        <v>868</v>
      </c>
      <c r="L125" s="52" t="s">
        <v>869</v>
      </c>
      <c r="M125" s="52">
        <v>7338812659</v>
      </c>
      <c r="N125" s="52">
        <v>9444282895</v>
      </c>
      <c r="O125" s="52">
        <v>7358610080</v>
      </c>
      <c r="P125" s="49"/>
    </row>
    <row r="126" spans="1:16" ht="55.5" customHeight="1" x14ac:dyDescent="0.3">
      <c r="A126" s="50">
        <v>22</v>
      </c>
      <c r="B126" s="51">
        <v>520023510122</v>
      </c>
      <c r="C126" s="50" t="s">
        <v>870</v>
      </c>
      <c r="D126" s="52" t="s">
        <v>871</v>
      </c>
      <c r="E126" s="53" t="s">
        <v>397</v>
      </c>
      <c r="F126" s="54">
        <v>45171</v>
      </c>
      <c r="G126" s="53">
        <v>139</v>
      </c>
      <c r="H126" s="53" t="s">
        <v>432</v>
      </c>
      <c r="I126" s="53" t="s">
        <v>418</v>
      </c>
      <c r="J126" s="54">
        <v>38529</v>
      </c>
      <c r="K126" s="52" t="s">
        <v>518</v>
      </c>
      <c r="L126" s="52" t="s">
        <v>872</v>
      </c>
      <c r="M126" s="52">
        <v>9487780865</v>
      </c>
      <c r="N126" s="52">
        <v>9487780865</v>
      </c>
      <c r="O126" s="52">
        <v>9442580865</v>
      </c>
      <c r="P126" s="49"/>
    </row>
    <row r="127" spans="1:16" ht="55.5" customHeight="1" x14ac:dyDescent="0.3">
      <c r="A127" s="57">
        <v>123</v>
      </c>
      <c r="B127" s="51">
        <v>520023510123</v>
      </c>
      <c r="C127" s="50" t="s">
        <v>873</v>
      </c>
      <c r="D127" s="52" t="s">
        <v>874</v>
      </c>
      <c r="E127" s="53" t="s">
        <v>391</v>
      </c>
      <c r="F127" s="54">
        <v>45148</v>
      </c>
      <c r="G127" s="53">
        <v>512</v>
      </c>
      <c r="H127" s="53" t="s">
        <v>392</v>
      </c>
      <c r="I127" s="53" t="s">
        <v>403</v>
      </c>
      <c r="J127" s="54">
        <v>38306</v>
      </c>
      <c r="K127" s="52" t="s">
        <v>875</v>
      </c>
      <c r="L127" s="52" t="s">
        <v>876</v>
      </c>
      <c r="M127" s="52">
        <v>7200848193</v>
      </c>
      <c r="N127" s="52">
        <v>9384938193</v>
      </c>
      <c r="O127" s="52">
        <v>8056542113</v>
      </c>
      <c r="P127" s="49"/>
    </row>
    <row r="128" spans="1:16" ht="55.5" customHeight="1" x14ac:dyDescent="0.3">
      <c r="A128" s="57">
        <v>124</v>
      </c>
      <c r="B128" s="51">
        <v>520023510124</v>
      </c>
      <c r="C128" s="50" t="s">
        <v>877</v>
      </c>
      <c r="D128" s="52" t="s">
        <v>878</v>
      </c>
      <c r="E128" s="53" t="s">
        <v>391</v>
      </c>
      <c r="F128" s="54">
        <v>45179</v>
      </c>
      <c r="G128" s="53">
        <v>516</v>
      </c>
      <c r="H128" s="53" t="s">
        <v>392</v>
      </c>
      <c r="I128" s="53" t="s">
        <v>403</v>
      </c>
      <c r="J128" s="54">
        <v>38014</v>
      </c>
      <c r="K128" s="52" t="s">
        <v>879</v>
      </c>
      <c r="L128" s="52" t="s">
        <v>880</v>
      </c>
      <c r="M128" s="52">
        <v>9360200667</v>
      </c>
      <c r="N128" s="52">
        <v>9994620027</v>
      </c>
      <c r="O128" s="52">
        <v>9843069725</v>
      </c>
      <c r="P128" s="49"/>
    </row>
    <row r="129" spans="1:16" ht="55.5" customHeight="1" x14ac:dyDescent="0.3">
      <c r="A129" s="57">
        <v>125</v>
      </c>
      <c r="B129" s="51">
        <v>520023510125</v>
      </c>
      <c r="C129" s="50" t="s">
        <v>881</v>
      </c>
      <c r="D129" s="58" t="s">
        <v>882</v>
      </c>
      <c r="E129" s="53" t="s">
        <v>397</v>
      </c>
      <c r="F129" s="54">
        <v>45148</v>
      </c>
      <c r="G129" s="53">
        <v>257</v>
      </c>
      <c r="H129" s="53" t="s">
        <v>402</v>
      </c>
      <c r="I129" s="53" t="s">
        <v>222</v>
      </c>
      <c r="J129" s="54">
        <v>38402</v>
      </c>
      <c r="K129" s="52" t="s">
        <v>883</v>
      </c>
      <c r="L129" s="52" t="s">
        <v>764</v>
      </c>
      <c r="M129" s="52">
        <v>9345629700</v>
      </c>
      <c r="N129" s="52">
        <v>9442944171</v>
      </c>
      <c r="O129" s="52"/>
      <c r="P129" s="49"/>
    </row>
    <row r="130" spans="1:16" ht="55.5" customHeight="1" x14ac:dyDescent="0.3">
      <c r="A130" s="57">
        <v>126</v>
      </c>
      <c r="B130" s="51">
        <v>520023510126</v>
      </c>
      <c r="C130" s="50" t="s">
        <v>884</v>
      </c>
      <c r="D130" s="52" t="s">
        <v>885</v>
      </c>
      <c r="E130" s="53" t="s">
        <v>397</v>
      </c>
      <c r="F130" s="54">
        <v>45172</v>
      </c>
      <c r="G130" s="53">
        <v>508</v>
      </c>
      <c r="H130" s="53" t="s">
        <v>392</v>
      </c>
      <c r="I130" s="53" t="s">
        <v>517</v>
      </c>
      <c r="J130" s="54">
        <v>38000</v>
      </c>
      <c r="K130" s="52" t="s">
        <v>589</v>
      </c>
      <c r="L130" s="52" t="s">
        <v>886</v>
      </c>
      <c r="M130" s="52">
        <v>9345342589</v>
      </c>
      <c r="N130" s="52">
        <v>9788594905</v>
      </c>
      <c r="O130" s="52">
        <v>9788320232</v>
      </c>
      <c r="P130" s="49"/>
    </row>
    <row r="131" spans="1:16" ht="55.5" customHeight="1" x14ac:dyDescent="0.3">
      <c r="A131" s="57">
        <v>127</v>
      </c>
      <c r="B131" s="51">
        <v>520023510127</v>
      </c>
      <c r="C131" s="50" t="s">
        <v>887</v>
      </c>
      <c r="D131" s="52" t="s">
        <v>888</v>
      </c>
      <c r="E131" s="53" t="s">
        <v>397</v>
      </c>
      <c r="F131" s="54">
        <v>45172</v>
      </c>
      <c r="G131" s="53">
        <v>184</v>
      </c>
      <c r="H131" s="53" t="s">
        <v>417</v>
      </c>
      <c r="I131" s="53" t="s">
        <v>210</v>
      </c>
      <c r="J131" s="54">
        <v>38287</v>
      </c>
      <c r="K131" s="52" t="s">
        <v>889</v>
      </c>
      <c r="L131" s="52" t="s">
        <v>890</v>
      </c>
      <c r="M131" s="52">
        <v>9597456941</v>
      </c>
      <c r="N131" s="52">
        <v>9825133992</v>
      </c>
      <c r="O131" s="52">
        <v>9597557567</v>
      </c>
      <c r="P131" s="49"/>
    </row>
    <row r="132" spans="1:16" ht="55.5" customHeight="1" x14ac:dyDescent="0.3">
      <c r="A132" s="57">
        <v>128</v>
      </c>
      <c r="B132" s="51">
        <v>520023510128</v>
      </c>
      <c r="C132" s="50" t="s">
        <v>891</v>
      </c>
      <c r="D132" s="52" t="s">
        <v>892</v>
      </c>
      <c r="E132" s="53" t="s">
        <v>397</v>
      </c>
      <c r="F132" s="54">
        <v>45148</v>
      </c>
      <c r="G132" s="53">
        <v>511</v>
      </c>
      <c r="H132" s="53" t="s">
        <v>392</v>
      </c>
      <c r="I132" s="53" t="s">
        <v>403</v>
      </c>
      <c r="J132" s="54">
        <v>38206</v>
      </c>
      <c r="K132" s="52" t="s">
        <v>893</v>
      </c>
      <c r="L132" s="52" t="s">
        <v>894</v>
      </c>
      <c r="M132" s="52">
        <v>9344662400</v>
      </c>
      <c r="N132" s="52">
        <v>9842845379</v>
      </c>
      <c r="O132" s="52">
        <v>9047408747</v>
      </c>
      <c r="P132" s="49"/>
    </row>
    <row r="133" spans="1:16" ht="55.5" customHeight="1" x14ac:dyDescent="0.3">
      <c r="A133" s="57">
        <v>129</v>
      </c>
      <c r="B133" s="51">
        <v>520023510129</v>
      </c>
      <c r="C133" s="50" t="s">
        <v>895</v>
      </c>
      <c r="D133" s="52" t="s">
        <v>896</v>
      </c>
      <c r="E133" s="53" t="s">
        <v>397</v>
      </c>
      <c r="F133" s="54">
        <v>45149</v>
      </c>
      <c r="G133" s="53">
        <v>374</v>
      </c>
      <c r="H133" s="53" t="s">
        <v>402</v>
      </c>
      <c r="I133" s="53" t="s">
        <v>210</v>
      </c>
      <c r="J133" s="54">
        <v>38069</v>
      </c>
      <c r="K133" s="52" t="s">
        <v>897</v>
      </c>
      <c r="L133" s="52" t="s">
        <v>898</v>
      </c>
      <c r="M133" s="52">
        <v>9043855214</v>
      </c>
      <c r="N133" s="52">
        <v>7867981588</v>
      </c>
      <c r="O133" s="52"/>
      <c r="P133" s="49"/>
    </row>
    <row r="134" spans="1:16" ht="55.5" customHeight="1" x14ac:dyDescent="0.3">
      <c r="A134" s="57">
        <v>130</v>
      </c>
      <c r="B134" s="51">
        <v>520023510130</v>
      </c>
      <c r="C134" s="50" t="s">
        <v>899</v>
      </c>
      <c r="D134" s="52" t="s">
        <v>900</v>
      </c>
      <c r="E134" s="53" t="s">
        <v>397</v>
      </c>
      <c r="F134" s="54">
        <v>45176</v>
      </c>
      <c r="G134" s="53">
        <v>149</v>
      </c>
      <c r="H134" s="53" t="s">
        <v>432</v>
      </c>
      <c r="I134" s="53" t="s">
        <v>210</v>
      </c>
      <c r="J134" s="54">
        <v>38369</v>
      </c>
      <c r="K134" s="52" t="s">
        <v>901</v>
      </c>
      <c r="L134" s="52" t="s">
        <v>420</v>
      </c>
      <c r="M134" s="52">
        <v>8524934759</v>
      </c>
      <c r="N134" s="52">
        <v>9442811821</v>
      </c>
      <c r="O134" s="52">
        <v>6369582330</v>
      </c>
      <c r="P134" s="49"/>
    </row>
    <row r="135" spans="1:16" ht="55.5" customHeight="1" x14ac:dyDescent="0.3">
      <c r="A135" s="57">
        <v>131</v>
      </c>
      <c r="B135" s="51">
        <v>520023510131</v>
      </c>
      <c r="C135" s="50" t="s">
        <v>902</v>
      </c>
      <c r="D135" s="52" t="s">
        <v>903</v>
      </c>
      <c r="E135" s="53" t="s">
        <v>391</v>
      </c>
      <c r="F135" s="54">
        <v>45148</v>
      </c>
      <c r="G135" s="53">
        <v>533</v>
      </c>
      <c r="H135" s="53" t="s">
        <v>392</v>
      </c>
      <c r="I135" s="53" t="s">
        <v>210</v>
      </c>
      <c r="J135" s="54">
        <v>38946</v>
      </c>
      <c r="K135" s="52" t="s">
        <v>904</v>
      </c>
      <c r="L135" s="52" t="s">
        <v>486</v>
      </c>
      <c r="M135" s="52">
        <v>99420150131</v>
      </c>
      <c r="N135" s="52">
        <v>9976797919</v>
      </c>
      <c r="O135" s="52">
        <v>9942115013</v>
      </c>
      <c r="P135" s="49"/>
    </row>
    <row r="136" spans="1:16" ht="55.5" customHeight="1" x14ac:dyDescent="0.3">
      <c r="A136" s="57">
        <v>132</v>
      </c>
      <c r="B136" s="51">
        <v>520023510132</v>
      </c>
      <c r="C136" s="50" t="s">
        <v>905</v>
      </c>
      <c r="D136" s="52" t="s">
        <v>906</v>
      </c>
      <c r="E136" s="53" t="s">
        <v>391</v>
      </c>
      <c r="F136" s="54">
        <v>45147</v>
      </c>
      <c r="G136" s="53">
        <v>516</v>
      </c>
      <c r="H136" s="53" t="s">
        <v>392</v>
      </c>
      <c r="I136" s="53" t="s">
        <v>217</v>
      </c>
      <c r="J136" s="54">
        <v>38246</v>
      </c>
      <c r="K136" s="52" t="s">
        <v>907</v>
      </c>
      <c r="L136" s="52" t="s">
        <v>908</v>
      </c>
      <c r="M136" s="52">
        <v>9585999524</v>
      </c>
      <c r="N136" s="52">
        <v>9524984733</v>
      </c>
      <c r="O136" s="52">
        <v>9566882797</v>
      </c>
      <c r="P136" s="49"/>
    </row>
    <row r="137" spans="1:16" ht="55.5" customHeight="1" x14ac:dyDescent="0.3">
      <c r="A137" s="57">
        <v>133</v>
      </c>
      <c r="B137" s="51">
        <v>520023510133</v>
      </c>
      <c r="C137" s="50" t="s">
        <v>909</v>
      </c>
      <c r="D137" s="52" t="s">
        <v>910</v>
      </c>
      <c r="E137" s="53" t="s">
        <v>391</v>
      </c>
      <c r="F137" s="54">
        <v>45170</v>
      </c>
      <c r="G137" s="53">
        <v>532</v>
      </c>
      <c r="H137" s="53" t="s">
        <v>392</v>
      </c>
      <c r="I137" s="53" t="s">
        <v>210</v>
      </c>
      <c r="J137" s="54">
        <v>37843</v>
      </c>
      <c r="K137" s="52" t="s">
        <v>911</v>
      </c>
      <c r="L137" s="52" t="s">
        <v>499</v>
      </c>
      <c r="M137" s="52">
        <v>8754587638</v>
      </c>
      <c r="N137" s="52">
        <v>9962997633</v>
      </c>
      <c r="O137" s="52">
        <v>9442976675</v>
      </c>
      <c r="P137" s="49"/>
    </row>
    <row r="138" spans="1:16" ht="55.5" customHeight="1" x14ac:dyDescent="0.3">
      <c r="A138" s="57">
        <v>134</v>
      </c>
      <c r="B138" s="51">
        <v>520023510134</v>
      </c>
      <c r="C138" s="50" t="s">
        <v>912</v>
      </c>
      <c r="D138" s="58" t="s">
        <v>913</v>
      </c>
      <c r="E138" s="53" t="s">
        <v>391</v>
      </c>
      <c r="F138" s="54">
        <v>45189</v>
      </c>
      <c r="G138" s="53">
        <v>137</v>
      </c>
      <c r="H138" s="53" t="s">
        <v>417</v>
      </c>
      <c r="I138" s="53" t="s">
        <v>210</v>
      </c>
      <c r="J138" s="54">
        <v>38258</v>
      </c>
      <c r="K138" s="52" t="s">
        <v>914</v>
      </c>
      <c r="L138" s="52" t="s">
        <v>915</v>
      </c>
      <c r="M138" s="52">
        <v>9444093888</v>
      </c>
      <c r="N138" s="52">
        <v>9841175000</v>
      </c>
      <c r="O138" s="52">
        <v>9962361311</v>
      </c>
      <c r="P138" s="49"/>
    </row>
    <row r="139" spans="1:16" ht="55.5" customHeight="1" x14ac:dyDescent="0.3">
      <c r="A139" s="57">
        <v>135</v>
      </c>
      <c r="B139" s="51">
        <v>520023510135</v>
      </c>
      <c r="C139" s="50" t="s">
        <v>916</v>
      </c>
      <c r="D139" s="52" t="s">
        <v>917</v>
      </c>
      <c r="E139" s="53" t="s">
        <v>391</v>
      </c>
      <c r="F139" s="54">
        <v>45149</v>
      </c>
      <c r="G139" s="53">
        <v>425</v>
      </c>
      <c r="H139" s="53" t="s">
        <v>392</v>
      </c>
      <c r="I139" s="53" t="s">
        <v>44</v>
      </c>
      <c r="J139" s="54">
        <v>37858</v>
      </c>
      <c r="K139" s="52" t="s">
        <v>918</v>
      </c>
      <c r="L139" s="52" t="s">
        <v>919</v>
      </c>
      <c r="M139" s="52">
        <v>9150455525</v>
      </c>
      <c r="N139" s="52">
        <v>9940376393</v>
      </c>
      <c r="O139" s="52">
        <v>9940252481</v>
      </c>
      <c r="P139" s="49"/>
    </row>
    <row r="140" spans="1:16" ht="55.5" customHeight="1" x14ac:dyDescent="0.3">
      <c r="A140" s="57">
        <v>136</v>
      </c>
      <c r="B140" s="51">
        <v>520023510136</v>
      </c>
      <c r="C140" s="50" t="s">
        <v>920</v>
      </c>
      <c r="D140" s="52" t="s">
        <v>921</v>
      </c>
      <c r="E140" s="53" t="s">
        <v>397</v>
      </c>
      <c r="F140" s="54">
        <v>45172</v>
      </c>
      <c r="G140" s="53">
        <v>136</v>
      </c>
      <c r="H140" s="53" t="s">
        <v>432</v>
      </c>
      <c r="I140" s="53" t="s">
        <v>418</v>
      </c>
      <c r="J140" s="54">
        <v>38237</v>
      </c>
      <c r="K140" s="52" t="s">
        <v>922</v>
      </c>
      <c r="L140" s="52" t="s">
        <v>585</v>
      </c>
      <c r="M140" s="52">
        <v>7448446584</v>
      </c>
      <c r="N140" s="52">
        <v>9442693741</v>
      </c>
      <c r="O140" s="52">
        <v>6379194873</v>
      </c>
      <c r="P140" s="49"/>
    </row>
    <row r="141" spans="1:16" ht="55.5" customHeight="1" x14ac:dyDescent="0.3">
      <c r="A141" s="57">
        <v>137</v>
      </c>
      <c r="B141" s="51">
        <v>520023510137</v>
      </c>
      <c r="C141" s="50" t="s">
        <v>923</v>
      </c>
      <c r="D141" s="52" t="s">
        <v>924</v>
      </c>
      <c r="E141" s="53" t="s">
        <v>391</v>
      </c>
      <c r="F141" s="54">
        <v>45146</v>
      </c>
      <c r="G141" s="53">
        <v>359</v>
      </c>
      <c r="H141" s="53" t="s">
        <v>392</v>
      </c>
      <c r="I141" s="53" t="s">
        <v>241</v>
      </c>
      <c r="J141" s="54">
        <v>37991</v>
      </c>
      <c r="K141" s="52" t="s">
        <v>925</v>
      </c>
      <c r="L141" s="52" t="s">
        <v>926</v>
      </c>
      <c r="M141" s="52">
        <v>9566322502</v>
      </c>
      <c r="N141" s="52" t="s">
        <v>927</v>
      </c>
      <c r="O141" s="52">
        <v>9384314802</v>
      </c>
      <c r="P141" s="49"/>
    </row>
    <row r="142" spans="1:16" ht="55.5" customHeight="1" x14ac:dyDescent="0.3">
      <c r="A142" s="57">
        <v>138</v>
      </c>
      <c r="B142" s="51">
        <v>520023510138</v>
      </c>
      <c r="C142" s="50" t="s">
        <v>928</v>
      </c>
      <c r="D142" s="52" t="s">
        <v>929</v>
      </c>
      <c r="E142" s="53" t="s">
        <v>391</v>
      </c>
      <c r="F142" s="54">
        <v>45171</v>
      </c>
      <c r="G142" s="53">
        <v>227</v>
      </c>
      <c r="H142" s="53" t="s">
        <v>432</v>
      </c>
      <c r="I142" s="53" t="s">
        <v>210</v>
      </c>
      <c r="J142" s="54">
        <v>38810</v>
      </c>
      <c r="K142" s="52" t="s">
        <v>930</v>
      </c>
      <c r="L142" s="52" t="s">
        <v>931</v>
      </c>
      <c r="M142" s="52">
        <v>9363195584</v>
      </c>
      <c r="N142" s="52">
        <v>9487589879</v>
      </c>
      <c r="O142" s="52">
        <v>9363195584</v>
      </c>
      <c r="P142" s="49"/>
    </row>
    <row r="143" spans="1:16" ht="55.5" customHeight="1" x14ac:dyDescent="0.3">
      <c r="A143" s="57">
        <v>139</v>
      </c>
      <c r="B143" s="51">
        <v>520023510139</v>
      </c>
      <c r="C143" s="50" t="s">
        <v>932</v>
      </c>
      <c r="D143" s="52" t="s">
        <v>933</v>
      </c>
      <c r="E143" s="53" t="s">
        <v>391</v>
      </c>
      <c r="F143" s="54">
        <v>45148</v>
      </c>
      <c r="G143" s="53">
        <v>249</v>
      </c>
      <c r="H143" s="53" t="s">
        <v>402</v>
      </c>
      <c r="I143" s="53" t="s">
        <v>210</v>
      </c>
      <c r="J143" s="54">
        <v>38483</v>
      </c>
      <c r="K143" s="52" t="s">
        <v>934</v>
      </c>
      <c r="L143" s="52" t="s">
        <v>935</v>
      </c>
      <c r="M143" s="52">
        <v>9787381642</v>
      </c>
      <c r="N143" s="52">
        <v>9363068886</v>
      </c>
      <c r="O143" s="52">
        <v>9363268886</v>
      </c>
      <c r="P143" s="49"/>
    </row>
    <row r="144" spans="1:16" ht="55.5" customHeight="1" x14ac:dyDescent="0.3">
      <c r="A144" s="57">
        <v>140</v>
      </c>
      <c r="B144" s="51">
        <v>520023510140</v>
      </c>
      <c r="C144" s="50" t="s">
        <v>936</v>
      </c>
      <c r="D144" s="58" t="s">
        <v>937</v>
      </c>
      <c r="E144" s="53" t="s">
        <v>397</v>
      </c>
      <c r="F144" s="54">
        <v>45170</v>
      </c>
      <c r="G144" s="53">
        <v>542</v>
      </c>
      <c r="H144" s="53" t="s">
        <v>392</v>
      </c>
      <c r="I144" s="53" t="s">
        <v>210</v>
      </c>
      <c r="J144" s="54">
        <v>38619</v>
      </c>
      <c r="K144" s="52" t="s">
        <v>938</v>
      </c>
      <c r="L144" s="52" t="s">
        <v>890</v>
      </c>
      <c r="M144" s="52">
        <v>9566913897</v>
      </c>
      <c r="N144" s="52">
        <v>9900590676</v>
      </c>
      <c r="O144" s="52">
        <v>9944070905</v>
      </c>
      <c r="P144" s="49"/>
    </row>
    <row r="145" spans="1:16" ht="55.5" customHeight="1" x14ac:dyDescent="0.3">
      <c r="A145" s="57">
        <v>141</v>
      </c>
      <c r="B145" s="51">
        <v>520023510141</v>
      </c>
      <c r="C145" s="50" t="s">
        <v>939</v>
      </c>
      <c r="D145" s="52" t="s">
        <v>940</v>
      </c>
      <c r="E145" s="53" t="s">
        <v>391</v>
      </c>
      <c r="F145" s="54">
        <v>45173</v>
      </c>
      <c r="G145" s="53">
        <v>533</v>
      </c>
      <c r="H145" s="53" t="s">
        <v>392</v>
      </c>
      <c r="I145" s="53" t="s">
        <v>210</v>
      </c>
      <c r="J145" s="54">
        <v>38243</v>
      </c>
      <c r="K145" s="52" t="s">
        <v>941</v>
      </c>
      <c r="L145" s="52" t="s">
        <v>470</v>
      </c>
      <c r="M145" s="52" t="s">
        <v>942</v>
      </c>
      <c r="N145" s="52">
        <v>9025781496</v>
      </c>
      <c r="O145" s="52">
        <v>7604992540</v>
      </c>
      <c r="P145" s="49"/>
    </row>
    <row r="146" spans="1:16" ht="55.5" customHeight="1" x14ac:dyDescent="0.3">
      <c r="A146" s="57">
        <v>142</v>
      </c>
      <c r="B146" s="51">
        <v>520023510142</v>
      </c>
      <c r="C146" s="50" t="s">
        <v>943</v>
      </c>
      <c r="D146" s="52" t="s">
        <v>944</v>
      </c>
      <c r="E146" s="53" t="s">
        <v>397</v>
      </c>
      <c r="F146" s="54">
        <v>45145</v>
      </c>
      <c r="G146" s="53">
        <v>269</v>
      </c>
      <c r="H146" s="53" t="s">
        <v>402</v>
      </c>
      <c r="I146" s="53" t="s">
        <v>403</v>
      </c>
      <c r="J146" s="54">
        <v>38262</v>
      </c>
      <c r="K146" s="52" t="s">
        <v>945</v>
      </c>
      <c r="L146" s="52" t="s">
        <v>946</v>
      </c>
      <c r="M146" s="52">
        <v>6382475062</v>
      </c>
      <c r="N146" s="52">
        <v>9443623576</v>
      </c>
      <c r="O146" s="52">
        <v>7200229580</v>
      </c>
      <c r="P146" s="74"/>
    </row>
    <row r="147" spans="1:16" ht="55.5" customHeight="1" x14ac:dyDescent="0.3">
      <c r="A147" s="57">
        <v>143</v>
      </c>
      <c r="B147" s="51">
        <v>520023510143</v>
      </c>
      <c r="C147" s="50" t="s">
        <v>947</v>
      </c>
      <c r="D147" s="52" t="s">
        <v>948</v>
      </c>
      <c r="E147" s="53" t="s">
        <v>397</v>
      </c>
      <c r="F147" s="54">
        <v>45148</v>
      </c>
      <c r="G147" s="53">
        <v>284</v>
      </c>
      <c r="H147" s="53" t="s">
        <v>402</v>
      </c>
      <c r="I147" s="53" t="s">
        <v>210</v>
      </c>
      <c r="J147" s="54">
        <v>38237</v>
      </c>
      <c r="K147" s="52" t="s">
        <v>949</v>
      </c>
      <c r="L147" s="52" t="s">
        <v>950</v>
      </c>
      <c r="M147" s="52">
        <v>9443212200</v>
      </c>
      <c r="N147" s="52">
        <v>9443212200</v>
      </c>
      <c r="O147" s="52">
        <v>9488760912</v>
      </c>
      <c r="P147" s="49"/>
    </row>
    <row r="148" spans="1:16" ht="55.5" customHeight="1" x14ac:dyDescent="0.3">
      <c r="A148" s="57">
        <v>144</v>
      </c>
      <c r="B148" s="51">
        <v>520023510144</v>
      </c>
      <c r="C148" s="50" t="s">
        <v>951</v>
      </c>
      <c r="D148" s="52" t="s">
        <v>952</v>
      </c>
      <c r="E148" s="53" t="s">
        <v>397</v>
      </c>
      <c r="F148" s="54">
        <v>45148</v>
      </c>
      <c r="G148" s="53">
        <v>535</v>
      </c>
      <c r="H148" s="53" t="s">
        <v>392</v>
      </c>
      <c r="I148" s="53" t="s">
        <v>210</v>
      </c>
      <c r="J148" s="54">
        <v>38154</v>
      </c>
      <c r="K148" s="52" t="s">
        <v>953</v>
      </c>
      <c r="L148" s="52" t="s">
        <v>620</v>
      </c>
      <c r="M148" s="52">
        <v>9345338492</v>
      </c>
      <c r="N148" s="52" t="s">
        <v>954</v>
      </c>
      <c r="O148" s="52">
        <v>6382947403</v>
      </c>
      <c r="P148" s="49"/>
    </row>
    <row r="149" spans="1:16" ht="55.5" customHeight="1" x14ac:dyDescent="0.3">
      <c r="A149" s="57">
        <v>145</v>
      </c>
      <c r="B149" s="51">
        <v>520023510145</v>
      </c>
      <c r="C149" s="50" t="s">
        <v>955</v>
      </c>
      <c r="D149" s="52" t="s">
        <v>956</v>
      </c>
      <c r="E149" s="53" t="s">
        <v>397</v>
      </c>
      <c r="F149" s="54">
        <v>45147</v>
      </c>
      <c r="G149" s="53">
        <v>534</v>
      </c>
      <c r="H149" s="53" t="s">
        <v>392</v>
      </c>
      <c r="I149" s="53" t="s">
        <v>210</v>
      </c>
      <c r="J149" s="54">
        <v>38336</v>
      </c>
      <c r="K149" s="52" t="s">
        <v>957</v>
      </c>
      <c r="L149" s="52" t="s">
        <v>486</v>
      </c>
      <c r="M149" s="52">
        <v>9884879704</v>
      </c>
      <c r="N149" s="52">
        <v>9884879740</v>
      </c>
      <c r="O149" s="52">
        <v>9884879750</v>
      </c>
      <c r="P149" s="49"/>
    </row>
    <row r="150" spans="1:16" ht="55.5" customHeight="1" x14ac:dyDescent="0.3">
      <c r="A150" s="53">
        <v>146</v>
      </c>
      <c r="B150" s="51">
        <v>520023510146</v>
      </c>
      <c r="C150" s="50" t="s">
        <v>958</v>
      </c>
      <c r="D150" s="52" t="s">
        <v>959</v>
      </c>
      <c r="E150" s="53" t="s">
        <v>391</v>
      </c>
      <c r="F150" s="54">
        <v>45140</v>
      </c>
      <c r="G150" s="53">
        <v>341</v>
      </c>
      <c r="H150" s="53" t="s">
        <v>516</v>
      </c>
      <c r="I150" s="53" t="s">
        <v>44</v>
      </c>
      <c r="J150" s="54">
        <v>38485</v>
      </c>
      <c r="K150" s="52" t="s">
        <v>960</v>
      </c>
      <c r="L150" s="52" t="s">
        <v>880</v>
      </c>
      <c r="M150" s="52">
        <v>9894134603</v>
      </c>
      <c r="N150" s="52">
        <v>9790250165</v>
      </c>
      <c r="O150" s="52">
        <v>9894153460</v>
      </c>
      <c r="P150" s="49"/>
    </row>
    <row r="151" spans="1:16" ht="55.5" customHeight="1" x14ac:dyDescent="0.3">
      <c r="A151" s="53">
        <v>147</v>
      </c>
      <c r="B151" s="51">
        <v>520023510147</v>
      </c>
      <c r="C151" s="50" t="s">
        <v>961</v>
      </c>
      <c r="D151" s="52" t="s">
        <v>962</v>
      </c>
      <c r="E151" s="53" t="s">
        <v>397</v>
      </c>
      <c r="F151" s="54">
        <v>45149</v>
      </c>
      <c r="G151" s="53">
        <v>537</v>
      </c>
      <c r="H151" s="53" t="s">
        <v>392</v>
      </c>
      <c r="I151" s="53" t="s">
        <v>210</v>
      </c>
      <c r="J151" s="54">
        <v>38546</v>
      </c>
      <c r="K151" s="52" t="s">
        <v>963</v>
      </c>
      <c r="L151" s="52" t="s">
        <v>964</v>
      </c>
      <c r="M151" s="52">
        <v>8220578393</v>
      </c>
      <c r="N151" s="52" t="s">
        <v>965</v>
      </c>
      <c r="O151" s="52">
        <v>9500902391</v>
      </c>
      <c r="P151" s="49"/>
    </row>
    <row r="152" spans="1:16" ht="55.5" customHeight="1" x14ac:dyDescent="0.3">
      <c r="A152" s="53">
        <v>148</v>
      </c>
      <c r="B152" s="51">
        <v>520023510148</v>
      </c>
      <c r="C152" s="50" t="s">
        <v>966</v>
      </c>
      <c r="D152" s="52" t="s">
        <v>967</v>
      </c>
      <c r="E152" s="53" t="s">
        <v>391</v>
      </c>
      <c r="F152" s="54">
        <v>45148</v>
      </c>
      <c r="G152" s="53">
        <v>532</v>
      </c>
      <c r="H152" s="53" t="s">
        <v>392</v>
      </c>
      <c r="I152" s="53" t="s">
        <v>210</v>
      </c>
      <c r="J152" s="54">
        <v>37016</v>
      </c>
      <c r="K152" s="52" t="s">
        <v>945</v>
      </c>
      <c r="L152" s="52" t="s">
        <v>740</v>
      </c>
      <c r="M152" s="52">
        <v>8428925634</v>
      </c>
      <c r="N152" s="52">
        <v>9965439122</v>
      </c>
      <c r="O152" s="52" t="s">
        <v>542</v>
      </c>
      <c r="P152" s="49"/>
    </row>
    <row r="153" spans="1:16" ht="55.5" customHeight="1" x14ac:dyDescent="0.3">
      <c r="A153" s="57">
        <v>149</v>
      </c>
      <c r="B153" s="51">
        <v>520023510149</v>
      </c>
      <c r="C153" s="50" t="s">
        <v>968</v>
      </c>
      <c r="D153" s="52" t="s">
        <v>969</v>
      </c>
      <c r="E153" s="53" t="s">
        <v>391</v>
      </c>
      <c r="F153" s="54">
        <v>45149</v>
      </c>
      <c r="G153" s="53">
        <v>186</v>
      </c>
      <c r="H153" s="53" t="s">
        <v>402</v>
      </c>
      <c r="I153" s="53" t="s">
        <v>210</v>
      </c>
      <c r="J153" s="54">
        <v>38416</v>
      </c>
      <c r="K153" s="52" t="s">
        <v>665</v>
      </c>
      <c r="L153" s="52" t="s">
        <v>970</v>
      </c>
      <c r="M153" s="52">
        <v>8610885458</v>
      </c>
      <c r="N153" s="52" t="s">
        <v>971</v>
      </c>
      <c r="O153" s="52">
        <v>6382998820</v>
      </c>
      <c r="P153" s="49"/>
    </row>
    <row r="154" spans="1:16" ht="55.5" customHeight="1" x14ac:dyDescent="0.3">
      <c r="A154" s="57">
        <v>150</v>
      </c>
      <c r="B154" s="51">
        <v>520023510150</v>
      </c>
      <c r="C154" s="50" t="s">
        <v>972</v>
      </c>
      <c r="D154" s="52" t="s">
        <v>973</v>
      </c>
      <c r="E154" s="53" t="s">
        <v>397</v>
      </c>
      <c r="F154" s="54">
        <v>45147</v>
      </c>
      <c r="G154" s="53">
        <v>236</v>
      </c>
      <c r="H154" s="53" t="s">
        <v>402</v>
      </c>
      <c r="I154" s="53" t="s">
        <v>210</v>
      </c>
      <c r="J154" s="54">
        <v>38794</v>
      </c>
      <c r="K154" s="52" t="s">
        <v>974</v>
      </c>
      <c r="L154" s="52" t="s">
        <v>886</v>
      </c>
      <c r="M154" s="52">
        <v>8667006611</v>
      </c>
      <c r="N154" s="52">
        <v>9965570708</v>
      </c>
      <c r="O154" s="52">
        <v>9965570706</v>
      </c>
      <c r="P154" s="49"/>
    </row>
    <row r="156" spans="1:16" ht="55.5" customHeight="1" x14ac:dyDescent="0.25">
      <c r="K156">
        <f>78+33+5+14+17+1+1</f>
        <v>149</v>
      </c>
    </row>
  </sheetData>
  <mergeCells count="2">
    <mergeCell ref="A1:P1"/>
    <mergeCell ref="A2:P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topLeftCell="A49" workbookViewId="0">
      <selection activeCell="C25" sqref="C25"/>
    </sheetView>
  </sheetViews>
  <sheetFormatPr defaultColWidth="255.5703125" defaultRowHeight="15" x14ac:dyDescent="0.25"/>
  <cols>
    <col min="1" max="1" width="7.7109375" bestFit="1" customWidth="1"/>
    <col min="2" max="2" width="16.28515625" bestFit="1" customWidth="1"/>
    <col min="3" max="3" width="255.7109375" bestFit="1" customWidth="1"/>
    <col min="4" max="4" width="13.140625" bestFit="1" customWidth="1"/>
    <col min="5" max="5" width="13.42578125" bestFit="1" customWidth="1"/>
    <col min="6" max="6" width="9.7109375" bestFit="1" customWidth="1"/>
    <col min="7" max="7" width="17.5703125" bestFit="1" customWidth="1"/>
    <col min="8" max="8" width="19.42578125" bestFit="1" customWidth="1"/>
    <col min="9" max="9" width="13.42578125" bestFit="1" customWidth="1"/>
    <col min="10" max="10" width="46" bestFit="1" customWidth="1"/>
    <col min="11" max="11" width="36.7109375" bestFit="1" customWidth="1"/>
    <col min="12" max="12" width="27.42578125" bestFit="1" customWidth="1"/>
    <col min="13" max="13" width="27.7109375" bestFit="1" customWidth="1"/>
    <col min="14" max="14" width="31.28515625" bestFit="1" customWidth="1"/>
    <col min="15" max="15" width="27.140625" bestFit="1" customWidth="1"/>
    <col min="16" max="16" width="16.140625" bestFit="1" customWidth="1"/>
    <col min="17" max="17" width="26.28515625" bestFit="1" customWidth="1"/>
    <col min="18" max="18" width="18.28515625" bestFit="1" customWidth="1"/>
    <col min="19" max="19" width="53" bestFit="1" customWidth="1"/>
  </cols>
  <sheetData>
    <row r="1" spans="1:19" ht="18.75" x14ac:dyDescent="0.25">
      <c r="A1" s="75" t="s">
        <v>372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1:19" ht="75" x14ac:dyDescent="0.25">
      <c r="A2" s="48" t="s">
        <v>374</v>
      </c>
      <c r="B2" s="48" t="s">
        <v>975</v>
      </c>
      <c r="C2" s="48" t="s">
        <v>377</v>
      </c>
      <c r="D2" s="48" t="s">
        <v>378</v>
      </c>
      <c r="E2" s="48" t="s">
        <v>383</v>
      </c>
      <c r="F2" s="48" t="s">
        <v>380</v>
      </c>
      <c r="G2" s="48" t="s">
        <v>381</v>
      </c>
      <c r="H2" s="48" t="s">
        <v>382</v>
      </c>
      <c r="I2" s="48" t="s">
        <v>379</v>
      </c>
      <c r="J2" s="48" t="s">
        <v>384</v>
      </c>
      <c r="K2" s="48" t="s">
        <v>385</v>
      </c>
      <c r="L2" s="48" t="s">
        <v>976</v>
      </c>
      <c r="M2" s="48" t="s">
        <v>386</v>
      </c>
      <c r="N2" s="48" t="s">
        <v>387</v>
      </c>
      <c r="O2" s="48" t="s">
        <v>388</v>
      </c>
      <c r="P2" s="48" t="s">
        <v>976</v>
      </c>
      <c r="Q2" s="48" t="s">
        <v>977</v>
      </c>
      <c r="R2" s="48" t="s">
        <v>978</v>
      </c>
      <c r="S2" s="48" t="s">
        <v>979</v>
      </c>
    </row>
    <row r="3" spans="1:19" ht="18.75" x14ac:dyDescent="0.25">
      <c r="A3" s="57">
        <v>1</v>
      </c>
      <c r="B3" s="57" t="s">
        <v>980</v>
      </c>
      <c r="C3" s="78" t="s">
        <v>981</v>
      </c>
      <c r="D3" s="57" t="s">
        <v>982</v>
      </c>
      <c r="E3" s="79">
        <v>38354</v>
      </c>
      <c r="F3" s="57">
        <v>332</v>
      </c>
      <c r="G3" s="57" t="s">
        <v>983</v>
      </c>
      <c r="H3" s="57" t="s">
        <v>984</v>
      </c>
      <c r="I3" s="79">
        <v>45585</v>
      </c>
      <c r="J3" s="78" t="s">
        <v>985</v>
      </c>
      <c r="K3" s="57" t="s">
        <v>986</v>
      </c>
      <c r="L3" s="78"/>
      <c r="M3" s="78">
        <v>7010274797</v>
      </c>
      <c r="N3" s="78">
        <v>9443260893</v>
      </c>
      <c r="O3" s="78">
        <v>8903327223</v>
      </c>
      <c r="P3" s="78"/>
      <c r="Q3" s="80" t="s">
        <v>987</v>
      </c>
      <c r="R3" s="81">
        <v>902146400605</v>
      </c>
      <c r="S3" s="78" t="s">
        <v>988</v>
      </c>
    </row>
    <row r="4" spans="1:19" ht="18.75" x14ac:dyDescent="0.25">
      <c r="A4" s="57">
        <v>2</v>
      </c>
      <c r="B4" s="57" t="s">
        <v>989</v>
      </c>
      <c r="C4" s="78" t="s">
        <v>990</v>
      </c>
      <c r="D4" s="57" t="s">
        <v>391</v>
      </c>
      <c r="E4" s="79">
        <v>38918</v>
      </c>
      <c r="F4" s="57">
        <v>589</v>
      </c>
      <c r="G4" s="57" t="s">
        <v>392</v>
      </c>
      <c r="H4" s="57" t="s">
        <v>371</v>
      </c>
      <c r="I4" s="79">
        <v>45569</v>
      </c>
      <c r="J4" s="78"/>
      <c r="K4" s="57" t="s">
        <v>991</v>
      </c>
      <c r="L4" s="78"/>
      <c r="M4" s="78">
        <v>9486442506</v>
      </c>
      <c r="N4" s="78">
        <v>9444823394</v>
      </c>
      <c r="O4" s="78">
        <v>7010102977</v>
      </c>
      <c r="P4" s="78"/>
      <c r="Q4" s="80">
        <v>2015943087</v>
      </c>
      <c r="R4" s="81">
        <v>597224135711</v>
      </c>
      <c r="S4" s="78" t="s">
        <v>992</v>
      </c>
    </row>
    <row r="5" spans="1:19" ht="18.75" x14ac:dyDescent="0.25">
      <c r="A5" s="57">
        <v>3</v>
      </c>
      <c r="B5" s="57" t="s">
        <v>993</v>
      </c>
      <c r="C5" s="78" t="s">
        <v>994</v>
      </c>
      <c r="D5" s="57" t="s">
        <v>391</v>
      </c>
      <c r="E5" s="79">
        <v>38561</v>
      </c>
      <c r="F5" s="57">
        <v>496</v>
      </c>
      <c r="G5" s="57" t="s">
        <v>417</v>
      </c>
      <c r="H5" s="57" t="s">
        <v>210</v>
      </c>
      <c r="I5" s="79">
        <v>45537</v>
      </c>
      <c r="J5" s="78" t="s">
        <v>995</v>
      </c>
      <c r="K5" s="57" t="s">
        <v>996</v>
      </c>
      <c r="L5" s="78"/>
      <c r="M5" s="78">
        <v>8220668824</v>
      </c>
      <c r="N5" s="78">
        <v>9952965317</v>
      </c>
      <c r="O5" s="78">
        <v>9789065060</v>
      </c>
      <c r="P5" s="78"/>
      <c r="Q5" s="80">
        <v>2019295115</v>
      </c>
      <c r="R5" s="81">
        <v>830673633941</v>
      </c>
      <c r="S5" s="78" t="s">
        <v>997</v>
      </c>
    </row>
    <row r="6" spans="1:19" ht="18.75" x14ac:dyDescent="0.25">
      <c r="A6" s="57">
        <v>4</v>
      </c>
      <c r="B6" s="57" t="s">
        <v>998</v>
      </c>
      <c r="C6" s="78" t="s">
        <v>999</v>
      </c>
      <c r="D6" s="57" t="s">
        <v>1000</v>
      </c>
      <c r="E6" s="79">
        <v>38571</v>
      </c>
      <c r="F6" s="57">
        <v>504</v>
      </c>
      <c r="G6" s="57">
        <v>7.5</v>
      </c>
      <c r="H6" s="57" t="s">
        <v>371</v>
      </c>
      <c r="I6" s="79">
        <v>45532</v>
      </c>
      <c r="J6" s="78" t="s">
        <v>1001</v>
      </c>
      <c r="K6" s="57" t="s">
        <v>1002</v>
      </c>
      <c r="L6" s="78"/>
      <c r="M6" s="78">
        <v>8248073186</v>
      </c>
      <c r="N6" s="78">
        <v>9443826648</v>
      </c>
      <c r="O6" s="78">
        <v>9943321064</v>
      </c>
      <c r="P6" s="78"/>
      <c r="Q6" s="80" t="s">
        <v>1003</v>
      </c>
      <c r="R6" s="81">
        <v>355541142202</v>
      </c>
      <c r="S6" s="78" t="s">
        <v>1004</v>
      </c>
    </row>
    <row r="7" spans="1:19" ht="18.75" x14ac:dyDescent="0.25">
      <c r="A7" s="57">
        <v>5</v>
      </c>
      <c r="B7" s="57" t="s">
        <v>1005</v>
      </c>
      <c r="C7" s="78" t="s">
        <v>1006</v>
      </c>
      <c r="D7" s="57" t="s">
        <v>391</v>
      </c>
      <c r="E7" s="79">
        <v>38686</v>
      </c>
      <c r="F7" s="57">
        <v>439</v>
      </c>
      <c r="G7" s="57" t="s">
        <v>392</v>
      </c>
      <c r="H7" s="57" t="s">
        <v>241</v>
      </c>
      <c r="I7" s="79">
        <v>45540</v>
      </c>
      <c r="J7" s="78" t="s">
        <v>1007</v>
      </c>
      <c r="K7" s="57" t="s">
        <v>1008</v>
      </c>
      <c r="L7" s="78"/>
      <c r="M7" s="78">
        <v>9095499945</v>
      </c>
      <c r="N7" s="78"/>
      <c r="O7" s="78"/>
      <c r="P7" s="78"/>
      <c r="Q7" s="80">
        <v>2022442977</v>
      </c>
      <c r="R7" s="81">
        <v>375034844024</v>
      </c>
      <c r="S7" s="78" t="s">
        <v>1009</v>
      </c>
    </row>
    <row r="8" spans="1:19" ht="18.75" x14ac:dyDescent="0.25">
      <c r="A8" s="57">
        <v>6</v>
      </c>
      <c r="B8" s="57" t="s">
        <v>1010</v>
      </c>
      <c r="C8" s="78" t="s">
        <v>1011</v>
      </c>
      <c r="D8" s="57" t="s">
        <v>1000</v>
      </c>
      <c r="E8" s="79">
        <v>38060</v>
      </c>
      <c r="F8" s="57">
        <v>604</v>
      </c>
      <c r="G8" s="57" t="s">
        <v>392</v>
      </c>
      <c r="H8" s="57" t="s">
        <v>210</v>
      </c>
      <c r="I8" s="79">
        <v>45539</v>
      </c>
      <c r="J8" s="78" t="s">
        <v>1012</v>
      </c>
      <c r="K8" s="57" t="s">
        <v>1013</v>
      </c>
      <c r="L8" s="78"/>
      <c r="M8" s="78">
        <v>8940982379</v>
      </c>
      <c r="N8" s="78">
        <v>9566659968</v>
      </c>
      <c r="O8" s="78">
        <v>9750416397</v>
      </c>
      <c r="P8" s="78"/>
      <c r="Q8" s="80" t="s">
        <v>1014</v>
      </c>
      <c r="R8" s="81">
        <v>515782047451</v>
      </c>
      <c r="S8" s="78" t="s">
        <v>1015</v>
      </c>
    </row>
    <row r="9" spans="1:19" ht="18.75" x14ac:dyDescent="0.25">
      <c r="A9" s="57">
        <v>7</v>
      </c>
      <c r="B9" s="57" t="s">
        <v>1016</v>
      </c>
      <c r="C9" s="78" t="s">
        <v>1017</v>
      </c>
      <c r="D9" s="57" t="s">
        <v>391</v>
      </c>
      <c r="E9" s="79">
        <v>38120</v>
      </c>
      <c r="F9" s="57">
        <v>598</v>
      </c>
      <c r="G9" s="57" t="s">
        <v>392</v>
      </c>
      <c r="H9" s="57" t="s">
        <v>210</v>
      </c>
      <c r="I9" s="79">
        <v>45588</v>
      </c>
      <c r="J9" s="78" t="s">
        <v>1018</v>
      </c>
      <c r="K9" s="57" t="s">
        <v>1019</v>
      </c>
      <c r="L9" s="78"/>
      <c r="M9" s="78">
        <v>9342469498</v>
      </c>
      <c r="N9" s="78">
        <v>9626773650</v>
      </c>
      <c r="O9" s="78">
        <v>9626773650</v>
      </c>
      <c r="P9" s="78"/>
      <c r="Q9" s="80" t="s">
        <v>1020</v>
      </c>
      <c r="R9" s="81">
        <v>529263214044</v>
      </c>
      <c r="S9" s="78"/>
    </row>
    <row r="10" spans="1:19" ht="18.75" x14ac:dyDescent="0.25">
      <c r="A10" s="57">
        <v>8</v>
      </c>
      <c r="B10" s="57" t="s">
        <v>1021</v>
      </c>
      <c r="C10" s="78" t="s">
        <v>1022</v>
      </c>
      <c r="D10" s="57" t="s">
        <v>391</v>
      </c>
      <c r="E10" s="79">
        <v>38672</v>
      </c>
      <c r="F10" s="57">
        <v>463</v>
      </c>
      <c r="G10" s="57">
        <v>7.5</v>
      </c>
      <c r="H10" s="57" t="s">
        <v>44</v>
      </c>
      <c r="I10" s="79">
        <v>45534</v>
      </c>
      <c r="J10" s="78" t="s">
        <v>1023</v>
      </c>
      <c r="K10" s="57" t="s">
        <v>1024</v>
      </c>
      <c r="L10" s="78"/>
      <c r="M10" s="78">
        <v>7092095629</v>
      </c>
      <c r="N10" s="78">
        <v>8015700572</v>
      </c>
      <c r="O10" s="78">
        <v>8015700572</v>
      </c>
      <c r="P10" s="78"/>
      <c r="Q10" s="80" t="s">
        <v>1025</v>
      </c>
      <c r="R10" s="81">
        <v>432231303725</v>
      </c>
      <c r="S10" s="78" t="s">
        <v>1026</v>
      </c>
    </row>
    <row r="11" spans="1:19" ht="18.75" x14ac:dyDescent="0.25">
      <c r="A11" s="57">
        <v>9</v>
      </c>
      <c r="B11" s="57" t="s">
        <v>1027</v>
      </c>
      <c r="C11" s="78" t="s">
        <v>1028</v>
      </c>
      <c r="D11" s="57" t="s">
        <v>391</v>
      </c>
      <c r="E11" s="79">
        <v>39115</v>
      </c>
      <c r="F11" s="57">
        <v>348</v>
      </c>
      <c r="G11" s="57" t="s">
        <v>417</v>
      </c>
      <c r="H11" s="57" t="s">
        <v>222</v>
      </c>
      <c r="I11" s="79">
        <v>45539</v>
      </c>
      <c r="J11" s="78" t="s">
        <v>1029</v>
      </c>
      <c r="K11" s="57" t="s">
        <v>1030</v>
      </c>
      <c r="L11" s="78"/>
      <c r="M11" s="78">
        <v>6378542066</v>
      </c>
      <c r="N11" s="78">
        <v>9994446060</v>
      </c>
      <c r="O11" s="78">
        <v>8903420901</v>
      </c>
      <c r="P11" s="78"/>
      <c r="Q11" s="80">
        <v>2021327629</v>
      </c>
      <c r="R11" s="81">
        <v>395266131958</v>
      </c>
      <c r="S11" s="78" t="s">
        <v>1031</v>
      </c>
    </row>
    <row r="12" spans="1:19" ht="18.75" x14ac:dyDescent="0.25">
      <c r="A12" s="57">
        <v>10</v>
      </c>
      <c r="B12" s="57" t="s">
        <v>1032</v>
      </c>
      <c r="C12" s="78" t="s">
        <v>1033</v>
      </c>
      <c r="D12" s="57" t="s">
        <v>391</v>
      </c>
      <c r="E12" s="79">
        <v>37989</v>
      </c>
      <c r="F12" s="57">
        <v>601</v>
      </c>
      <c r="G12" s="57" t="s">
        <v>392</v>
      </c>
      <c r="H12" s="57" t="s">
        <v>210</v>
      </c>
      <c r="I12" s="79">
        <v>45539</v>
      </c>
      <c r="J12" s="78" t="s">
        <v>1034</v>
      </c>
      <c r="K12" s="57" t="s">
        <v>1035</v>
      </c>
      <c r="L12" s="78"/>
      <c r="M12" s="78">
        <v>6381564414</v>
      </c>
      <c r="N12" s="78">
        <v>9444835918</v>
      </c>
      <c r="O12" s="78">
        <v>9444683370</v>
      </c>
      <c r="P12" s="78"/>
      <c r="Q12" s="80"/>
      <c r="R12" s="81">
        <v>602521866071</v>
      </c>
      <c r="S12" s="78" t="s">
        <v>1036</v>
      </c>
    </row>
    <row r="13" spans="1:19" ht="18.75" x14ac:dyDescent="0.25">
      <c r="A13" s="57">
        <v>11</v>
      </c>
      <c r="B13" s="57" t="s">
        <v>1037</v>
      </c>
      <c r="C13" s="78" t="s">
        <v>1038</v>
      </c>
      <c r="D13" s="57" t="s">
        <v>982</v>
      </c>
      <c r="E13" s="79">
        <v>38079</v>
      </c>
      <c r="F13" s="57">
        <v>343</v>
      </c>
      <c r="G13" s="57" t="s">
        <v>417</v>
      </c>
      <c r="H13" s="57" t="s">
        <v>210</v>
      </c>
      <c r="I13" s="79">
        <v>45540</v>
      </c>
      <c r="J13" s="78" t="s">
        <v>1039</v>
      </c>
      <c r="K13" s="57" t="s">
        <v>1040</v>
      </c>
      <c r="L13" s="78"/>
      <c r="M13" s="78">
        <v>9080312829</v>
      </c>
      <c r="N13" s="78">
        <v>9360545181</v>
      </c>
      <c r="O13" s="78">
        <v>9488316565</v>
      </c>
      <c r="P13" s="78"/>
      <c r="Q13" s="80" t="s">
        <v>1041</v>
      </c>
      <c r="R13" s="81">
        <v>623243397815</v>
      </c>
      <c r="S13" s="78" t="s">
        <v>1042</v>
      </c>
    </row>
    <row r="14" spans="1:19" ht="18.75" x14ac:dyDescent="0.25">
      <c r="A14" s="57">
        <v>12</v>
      </c>
      <c r="B14" s="57" t="s">
        <v>1043</v>
      </c>
      <c r="C14" s="78" t="s">
        <v>1044</v>
      </c>
      <c r="D14" s="57" t="s">
        <v>391</v>
      </c>
      <c r="E14" s="79">
        <v>38375</v>
      </c>
      <c r="F14" s="57">
        <v>444</v>
      </c>
      <c r="G14" s="57" t="s">
        <v>417</v>
      </c>
      <c r="H14" s="57" t="s">
        <v>371</v>
      </c>
      <c r="I14" s="79">
        <v>45540</v>
      </c>
      <c r="J14" s="78" t="s">
        <v>578</v>
      </c>
      <c r="K14" s="57" t="s">
        <v>970</v>
      </c>
      <c r="L14" s="78"/>
      <c r="M14" s="78">
        <v>8838969923</v>
      </c>
      <c r="N14" s="78">
        <v>9443415249</v>
      </c>
      <c r="O14" s="78">
        <v>9498052849</v>
      </c>
      <c r="P14" s="78"/>
      <c r="Q14" s="80" t="s">
        <v>1045</v>
      </c>
      <c r="R14" s="81">
        <v>961020835061</v>
      </c>
      <c r="S14" s="78" t="s">
        <v>1046</v>
      </c>
    </row>
    <row r="15" spans="1:19" ht="18.75" x14ac:dyDescent="0.25">
      <c r="A15" s="57">
        <v>13</v>
      </c>
      <c r="B15" s="57" t="s">
        <v>1047</v>
      </c>
      <c r="C15" s="78" t="s">
        <v>1048</v>
      </c>
      <c r="D15" s="57" t="s">
        <v>982</v>
      </c>
      <c r="E15" s="79">
        <v>38544</v>
      </c>
      <c r="F15" s="57">
        <v>602</v>
      </c>
      <c r="G15" s="57" t="s">
        <v>392</v>
      </c>
      <c r="H15" s="57" t="s">
        <v>210</v>
      </c>
      <c r="I15" s="79">
        <v>45539</v>
      </c>
      <c r="J15" s="78" t="s">
        <v>1049</v>
      </c>
      <c r="K15" s="57" t="s">
        <v>420</v>
      </c>
      <c r="L15" s="78"/>
      <c r="M15" s="78">
        <v>94773158394</v>
      </c>
      <c r="N15" s="78">
        <v>9884796711</v>
      </c>
      <c r="O15" s="78">
        <v>9655041276</v>
      </c>
      <c r="P15" s="78"/>
      <c r="Q15" s="80" t="s">
        <v>1050</v>
      </c>
      <c r="R15" s="81">
        <v>631930247687</v>
      </c>
      <c r="S15" s="78" t="s">
        <v>1051</v>
      </c>
    </row>
    <row r="16" spans="1:19" ht="18.75" x14ac:dyDescent="0.25">
      <c r="A16" s="57">
        <v>14</v>
      </c>
      <c r="B16" s="57" t="s">
        <v>1052</v>
      </c>
      <c r="C16" s="78" t="s">
        <v>1053</v>
      </c>
      <c r="D16" s="57" t="s">
        <v>397</v>
      </c>
      <c r="E16" s="79">
        <v>38627</v>
      </c>
      <c r="F16" s="57">
        <v>600</v>
      </c>
      <c r="G16" s="57" t="s">
        <v>392</v>
      </c>
      <c r="H16" s="57" t="s">
        <v>210</v>
      </c>
      <c r="I16" s="79">
        <v>45565</v>
      </c>
      <c r="J16" s="78" t="s">
        <v>1054</v>
      </c>
      <c r="K16" s="57" t="s">
        <v>1055</v>
      </c>
      <c r="L16" s="78"/>
      <c r="M16" s="78">
        <v>7530012105</v>
      </c>
      <c r="N16" s="78">
        <v>9944294230</v>
      </c>
      <c r="O16" s="78">
        <v>7904145293</v>
      </c>
      <c r="P16" s="78"/>
      <c r="Q16" s="80" t="s">
        <v>1056</v>
      </c>
      <c r="R16" s="81">
        <v>415503965673</v>
      </c>
      <c r="S16" s="78" t="s">
        <v>1057</v>
      </c>
    </row>
    <row r="17" spans="1:19" ht="18.75" x14ac:dyDescent="0.25">
      <c r="A17" s="57">
        <v>15</v>
      </c>
      <c r="B17" s="57" t="s">
        <v>1058</v>
      </c>
      <c r="C17" s="78" t="s">
        <v>1059</v>
      </c>
      <c r="D17" s="57" t="s">
        <v>397</v>
      </c>
      <c r="E17" s="79">
        <v>38594</v>
      </c>
      <c r="F17" s="57">
        <v>602</v>
      </c>
      <c r="G17" s="57" t="s">
        <v>392</v>
      </c>
      <c r="H17" s="57" t="s">
        <v>210</v>
      </c>
      <c r="I17" s="79">
        <v>45539</v>
      </c>
      <c r="J17" s="78" t="s">
        <v>1060</v>
      </c>
      <c r="K17" s="57" t="s">
        <v>1061</v>
      </c>
      <c r="L17" s="78"/>
      <c r="M17" s="78">
        <v>7904304673</v>
      </c>
      <c r="N17" s="78">
        <v>9080534048</v>
      </c>
      <c r="O17" s="78">
        <v>9080522025</v>
      </c>
      <c r="P17" s="78"/>
      <c r="Q17" s="80" t="s">
        <v>1062</v>
      </c>
      <c r="R17" s="81">
        <v>998695539007</v>
      </c>
      <c r="S17" s="78" t="s">
        <v>1063</v>
      </c>
    </row>
    <row r="18" spans="1:19" ht="18.75" x14ac:dyDescent="0.25">
      <c r="A18" s="57">
        <v>16</v>
      </c>
      <c r="B18" s="57" t="s">
        <v>1064</v>
      </c>
      <c r="C18" s="78" t="s">
        <v>1065</v>
      </c>
      <c r="D18" s="57" t="s">
        <v>397</v>
      </c>
      <c r="E18" s="79">
        <v>38919</v>
      </c>
      <c r="F18" s="57">
        <v>605</v>
      </c>
      <c r="G18" s="57" t="s">
        <v>392</v>
      </c>
      <c r="H18" s="57" t="s">
        <v>210</v>
      </c>
      <c r="I18" s="79">
        <v>45537</v>
      </c>
      <c r="J18" s="78" t="s">
        <v>1066</v>
      </c>
      <c r="K18" s="57" t="s">
        <v>1067</v>
      </c>
      <c r="L18" s="78"/>
      <c r="M18" s="78">
        <v>9600930633</v>
      </c>
      <c r="N18" s="78">
        <v>9894358440</v>
      </c>
      <c r="O18" s="78">
        <v>9150411490</v>
      </c>
      <c r="P18" s="78"/>
      <c r="Q18" s="80">
        <v>2019812032</v>
      </c>
      <c r="R18" s="81">
        <v>959405400218</v>
      </c>
      <c r="S18" s="78" t="s">
        <v>1068</v>
      </c>
    </row>
    <row r="19" spans="1:19" ht="18.75" x14ac:dyDescent="0.25">
      <c r="A19" s="57">
        <v>17</v>
      </c>
      <c r="B19" s="57" t="s">
        <v>1069</v>
      </c>
      <c r="C19" s="78" t="s">
        <v>1070</v>
      </c>
      <c r="D19" s="57" t="s">
        <v>391</v>
      </c>
      <c r="E19" s="79">
        <v>38764</v>
      </c>
      <c r="F19" s="57">
        <v>348</v>
      </c>
      <c r="G19" s="57" t="s">
        <v>417</v>
      </c>
      <c r="H19" s="57" t="s">
        <v>210</v>
      </c>
      <c r="I19" s="79">
        <v>45538</v>
      </c>
      <c r="J19" s="78" t="s">
        <v>1071</v>
      </c>
      <c r="K19" s="57" t="s">
        <v>1072</v>
      </c>
      <c r="L19" s="78"/>
      <c r="M19" s="78">
        <v>9080556997</v>
      </c>
      <c r="N19" s="78">
        <v>9962353960</v>
      </c>
      <c r="O19" s="78">
        <v>9962353950</v>
      </c>
      <c r="P19" s="78"/>
      <c r="Q19" s="80">
        <v>2021394098</v>
      </c>
      <c r="R19" s="81">
        <v>849751538095</v>
      </c>
      <c r="S19" s="78" t="s">
        <v>1073</v>
      </c>
    </row>
    <row r="20" spans="1:19" ht="18.75" x14ac:dyDescent="0.25">
      <c r="A20" s="57">
        <v>18</v>
      </c>
      <c r="B20" s="57" t="s">
        <v>1074</v>
      </c>
      <c r="C20" s="78" t="s">
        <v>1075</v>
      </c>
      <c r="D20" s="57" t="s">
        <v>397</v>
      </c>
      <c r="E20" s="79">
        <v>38108</v>
      </c>
      <c r="F20" s="57">
        <v>335</v>
      </c>
      <c r="G20" s="57" t="s">
        <v>983</v>
      </c>
      <c r="H20" s="57" t="s">
        <v>371</v>
      </c>
      <c r="I20" s="79">
        <v>45588</v>
      </c>
      <c r="J20" s="78" t="s">
        <v>1076</v>
      </c>
      <c r="K20" s="57" t="s">
        <v>1077</v>
      </c>
      <c r="L20" s="78"/>
      <c r="M20" s="78">
        <v>6369101826</v>
      </c>
      <c r="N20" s="78">
        <v>9943688613</v>
      </c>
      <c r="O20" s="78">
        <v>848975574</v>
      </c>
      <c r="P20" s="78"/>
      <c r="Q20" s="80" t="s">
        <v>1078</v>
      </c>
      <c r="R20" s="81">
        <v>470318783518</v>
      </c>
      <c r="S20" s="78"/>
    </row>
    <row r="21" spans="1:19" ht="18.75" x14ac:dyDescent="0.25">
      <c r="A21" s="57">
        <v>19</v>
      </c>
      <c r="B21" s="57" t="s">
        <v>1079</v>
      </c>
      <c r="C21" s="78" t="s">
        <v>1080</v>
      </c>
      <c r="D21" s="57" t="s">
        <v>397</v>
      </c>
      <c r="E21" s="79">
        <v>38518</v>
      </c>
      <c r="F21" s="57">
        <v>290</v>
      </c>
      <c r="G21" s="57" t="s">
        <v>983</v>
      </c>
      <c r="H21" s="57" t="s">
        <v>44</v>
      </c>
      <c r="I21" s="79">
        <v>45588</v>
      </c>
      <c r="J21" s="78" t="s">
        <v>1081</v>
      </c>
      <c r="K21" s="57" t="s">
        <v>1082</v>
      </c>
      <c r="L21" s="78"/>
      <c r="M21" s="78">
        <v>9894707105</v>
      </c>
      <c r="N21" s="78">
        <v>8825750105</v>
      </c>
      <c r="O21" s="78"/>
      <c r="P21" s="78"/>
      <c r="Q21" s="80">
        <v>1018988146</v>
      </c>
      <c r="R21" s="81">
        <v>505687641117</v>
      </c>
      <c r="S21" s="78"/>
    </row>
    <row r="22" spans="1:19" ht="18.75" x14ac:dyDescent="0.25">
      <c r="A22" s="57">
        <v>20</v>
      </c>
      <c r="B22" s="57" t="s">
        <v>1083</v>
      </c>
      <c r="C22" s="78" t="s">
        <v>1084</v>
      </c>
      <c r="D22" s="57" t="s">
        <v>397</v>
      </c>
      <c r="E22" s="79">
        <v>38830</v>
      </c>
      <c r="F22" s="57">
        <v>267</v>
      </c>
      <c r="G22" s="57" t="s">
        <v>983</v>
      </c>
      <c r="H22" s="57" t="s">
        <v>210</v>
      </c>
      <c r="I22" s="79">
        <v>45598</v>
      </c>
      <c r="J22" s="78" t="s">
        <v>1085</v>
      </c>
      <c r="K22" s="57" t="s">
        <v>1086</v>
      </c>
      <c r="L22" s="78"/>
      <c r="M22" s="78">
        <v>8610637790</v>
      </c>
      <c r="N22" s="78">
        <v>7667675848</v>
      </c>
      <c r="O22" s="78">
        <v>7667555858</v>
      </c>
      <c r="P22" s="78"/>
      <c r="Q22" s="80">
        <v>2001580927</v>
      </c>
      <c r="R22" s="81">
        <v>881983102291</v>
      </c>
      <c r="S22" s="78"/>
    </row>
    <row r="23" spans="1:19" ht="18.75" x14ac:dyDescent="0.25">
      <c r="A23" s="57">
        <v>21</v>
      </c>
      <c r="B23" s="57" t="s">
        <v>1087</v>
      </c>
      <c r="C23" s="78" t="s">
        <v>1088</v>
      </c>
      <c r="D23" s="57" t="s">
        <v>982</v>
      </c>
      <c r="E23" s="79">
        <v>38308</v>
      </c>
      <c r="F23" s="57">
        <v>605</v>
      </c>
      <c r="G23" s="57" t="s">
        <v>392</v>
      </c>
      <c r="H23" s="57" t="s">
        <v>210</v>
      </c>
      <c r="I23" s="79">
        <v>45536</v>
      </c>
      <c r="J23" s="78" t="s">
        <v>1089</v>
      </c>
      <c r="K23" s="57" t="s">
        <v>1090</v>
      </c>
      <c r="L23" s="78"/>
      <c r="M23" s="78">
        <v>6374147446</v>
      </c>
      <c r="N23" s="78">
        <v>9751677885</v>
      </c>
      <c r="O23" s="78"/>
      <c r="P23" s="78"/>
      <c r="Q23" s="80" t="s">
        <v>1091</v>
      </c>
      <c r="R23" s="81">
        <v>262945911750</v>
      </c>
      <c r="S23" s="78" t="s">
        <v>1092</v>
      </c>
    </row>
    <row r="24" spans="1:19" ht="18.75" x14ac:dyDescent="0.25">
      <c r="A24" s="57">
        <v>22</v>
      </c>
      <c r="B24" s="57" t="s">
        <v>1093</v>
      </c>
      <c r="C24" s="78" t="s">
        <v>1094</v>
      </c>
      <c r="D24" s="57" t="s">
        <v>397</v>
      </c>
      <c r="E24" s="79">
        <v>38571</v>
      </c>
      <c r="F24" s="57">
        <v>329</v>
      </c>
      <c r="G24" s="57" t="s">
        <v>417</v>
      </c>
      <c r="H24" s="57" t="s">
        <v>371</v>
      </c>
      <c r="I24" s="79">
        <v>45537</v>
      </c>
      <c r="J24" s="78" t="s">
        <v>1095</v>
      </c>
      <c r="K24" s="57" t="s">
        <v>919</v>
      </c>
      <c r="L24" s="78"/>
      <c r="M24" s="78">
        <v>6374572487</v>
      </c>
      <c r="N24" s="78">
        <v>9443408560</v>
      </c>
      <c r="O24" s="78">
        <v>9488106368</v>
      </c>
      <c r="P24" s="78"/>
      <c r="Q24" s="80">
        <v>2010147134</v>
      </c>
      <c r="R24" s="81">
        <v>888458596098</v>
      </c>
      <c r="S24" s="78" t="s">
        <v>1096</v>
      </c>
    </row>
    <row r="25" spans="1:19" ht="18.75" x14ac:dyDescent="0.25">
      <c r="A25" s="57">
        <v>23</v>
      </c>
      <c r="B25" s="57" t="s">
        <v>1097</v>
      </c>
      <c r="C25" s="78" t="s">
        <v>1098</v>
      </c>
      <c r="D25" s="57" t="s">
        <v>391</v>
      </c>
      <c r="E25" s="79">
        <v>38620</v>
      </c>
      <c r="F25" s="57">
        <v>336</v>
      </c>
      <c r="G25" s="57" t="s">
        <v>417</v>
      </c>
      <c r="H25" s="57" t="s">
        <v>210</v>
      </c>
      <c r="I25" s="79">
        <v>45539</v>
      </c>
      <c r="J25" s="78" t="s">
        <v>1099</v>
      </c>
      <c r="K25" s="57" t="s">
        <v>1100</v>
      </c>
      <c r="L25" s="78"/>
      <c r="M25" s="78">
        <v>8531934102</v>
      </c>
      <c r="N25" s="78">
        <v>9715517208</v>
      </c>
      <c r="O25" s="78">
        <v>9360558261</v>
      </c>
      <c r="P25" s="78"/>
      <c r="Q25" s="80" t="s">
        <v>1101</v>
      </c>
      <c r="R25" s="81">
        <v>396788113121</v>
      </c>
      <c r="S25" s="78" t="s">
        <v>1102</v>
      </c>
    </row>
    <row r="26" spans="1:19" ht="18.75" x14ac:dyDescent="0.25">
      <c r="A26" s="57">
        <v>24</v>
      </c>
      <c r="B26" s="57" t="s">
        <v>1103</v>
      </c>
      <c r="C26" s="78" t="s">
        <v>1104</v>
      </c>
      <c r="D26" s="57" t="s">
        <v>1000</v>
      </c>
      <c r="E26" s="79">
        <v>38522</v>
      </c>
      <c r="F26" s="57">
        <v>425</v>
      </c>
      <c r="G26" s="57" t="s">
        <v>983</v>
      </c>
      <c r="H26" s="57" t="s">
        <v>210</v>
      </c>
      <c r="I26" s="79">
        <v>45586</v>
      </c>
      <c r="J26" s="78"/>
      <c r="K26" s="57"/>
      <c r="L26" s="78" t="s">
        <v>1105</v>
      </c>
      <c r="M26" s="78">
        <v>9486317256</v>
      </c>
      <c r="N26" s="78">
        <v>9487392231</v>
      </c>
      <c r="O26" s="78">
        <v>9486083623</v>
      </c>
      <c r="P26" s="78">
        <v>9443321571</v>
      </c>
      <c r="Q26" s="80" t="s">
        <v>1106</v>
      </c>
      <c r="R26" s="81">
        <v>805532050053</v>
      </c>
      <c r="S26" s="78" t="s">
        <v>1107</v>
      </c>
    </row>
    <row r="27" spans="1:19" ht="18.75" x14ac:dyDescent="0.25">
      <c r="A27" s="57">
        <v>25</v>
      </c>
      <c r="B27" s="57" t="s">
        <v>1108</v>
      </c>
      <c r="C27" s="78" t="s">
        <v>1109</v>
      </c>
      <c r="D27" s="57" t="s">
        <v>982</v>
      </c>
      <c r="E27" s="79">
        <v>38768</v>
      </c>
      <c r="F27" s="57">
        <v>348</v>
      </c>
      <c r="G27" s="57" t="s">
        <v>417</v>
      </c>
      <c r="H27" s="57" t="s">
        <v>210</v>
      </c>
      <c r="I27" s="79">
        <v>45540</v>
      </c>
      <c r="J27" s="78" t="s">
        <v>1110</v>
      </c>
      <c r="K27" s="57" t="s">
        <v>1111</v>
      </c>
      <c r="L27" s="78"/>
      <c r="M27" s="78">
        <v>6385256866</v>
      </c>
      <c r="N27" s="78">
        <v>9842321125</v>
      </c>
      <c r="O27" s="78">
        <v>8300544566</v>
      </c>
      <c r="P27" s="78"/>
      <c r="Q27" s="80">
        <v>2000369095</v>
      </c>
      <c r="R27" s="81">
        <v>300364948627</v>
      </c>
      <c r="S27" s="78" t="s">
        <v>1112</v>
      </c>
    </row>
    <row r="28" spans="1:19" ht="18.75" x14ac:dyDescent="0.25">
      <c r="A28" s="57">
        <v>26</v>
      </c>
      <c r="B28" s="57" t="s">
        <v>1113</v>
      </c>
      <c r="C28" s="78" t="s">
        <v>1114</v>
      </c>
      <c r="D28" s="57" t="s">
        <v>391</v>
      </c>
      <c r="E28" s="79">
        <v>38313</v>
      </c>
      <c r="F28" s="57"/>
      <c r="G28" s="57" t="s">
        <v>392</v>
      </c>
      <c r="H28" s="57" t="s">
        <v>44</v>
      </c>
      <c r="I28" s="79">
        <v>45588</v>
      </c>
      <c r="J28" s="78" t="s">
        <v>540</v>
      </c>
      <c r="K28" s="57" t="s">
        <v>1115</v>
      </c>
      <c r="L28" s="78"/>
      <c r="M28" s="78">
        <v>8778652218</v>
      </c>
      <c r="N28" s="78">
        <v>9444871962</v>
      </c>
      <c r="O28" s="78">
        <v>9498131094</v>
      </c>
      <c r="P28" s="78"/>
      <c r="Q28" s="80">
        <v>2011864169</v>
      </c>
      <c r="R28" s="81">
        <v>247043039455</v>
      </c>
      <c r="S28" s="78"/>
    </row>
    <row r="29" spans="1:19" ht="18.75" x14ac:dyDescent="0.25">
      <c r="A29" s="57">
        <v>27</v>
      </c>
      <c r="B29" s="57" t="s">
        <v>1116</v>
      </c>
      <c r="C29" s="78" t="s">
        <v>1117</v>
      </c>
      <c r="D29" s="57" t="s">
        <v>391</v>
      </c>
      <c r="E29" s="79">
        <v>38800</v>
      </c>
      <c r="F29" s="57">
        <v>587</v>
      </c>
      <c r="G29" s="57" t="s">
        <v>392</v>
      </c>
      <c r="H29" s="57" t="s">
        <v>371</v>
      </c>
      <c r="I29" s="79">
        <v>45539</v>
      </c>
      <c r="J29" s="78" t="s">
        <v>1118</v>
      </c>
      <c r="K29" s="57" t="s">
        <v>1119</v>
      </c>
      <c r="L29" s="78"/>
      <c r="M29" s="78">
        <v>9488936966</v>
      </c>
      <c r="N29" s="78">
        <v>9444990699</v>
      </c>
      <c r="O29" s="78">
        <v>9444908975</v>
      </c>
      <c r="P29" s="78"/>
      <c r="Q29" s="80">
        <v>2024005239</v>
      </c>
      <c r="R29" s="81">
        <v>997672953759</v>
      </c>
      <c r="S29" s="78" t="s">
        <v>1120</v>
      </c>
    </row>
    <row r="30" spans="1:19" ht="18.75" x14ac:dyDescent="0.25">
      <c r="A30" s="57">
        <v>28</v>
      </c>
      <c r="B30" s="57" t="s">
        <v>1121</v>
      </c>
      <c r="C30" s="78" t="s">
        <v>1122</v>
      </c>
      <c r="D30" s="57" t="s">
        <v>1000</v>
      </c>
      <c r="E30" s="79">
        <v>38827</v>
      </c>
      <c r="F30" s="57">
        <v>517</v>
      </c>
      <c r="G30" s="57" t="s">
        <v>983</v>
      </c>
      <c r="H30" s="57" t="s">
        <v>1123</v>
      </c>
      <c r="I30" s="79">
        <v>45567</v>
      </c>
      <c r="J30" s="78" t="s">
        <v>1124</v>
      </c>
      <c r="K30" s="57" t="s">
        <v>1125</v>
      </c>
      <c r="L30" s="78"/>
      <c r="M30" s="78">
        <v>8015050248</v>
      </c>
      <c r="N30" s="78">
        <v>9715410465</v>
      </c>
      <c r="O30" s="78">
        <v>6369842348</v>
      </c>
      <c r="P30" s="78"/>
      <c r="Q30" s="80">
        <v>2006696715</v>
      </c>
      <c r="R30" s="81">
        <v>599571493993</v>
      </c>
      <c r="S30" s="78" t="s">
        <v>1126</v>
      </c>
    </row>
    <row r="31" spans="1:19" ht="18.75" x14ac:dyDescent="0.25">
      <c r="A31" s="57">
        <v>29</v>
      </c>
      <c r="B31" s="57" t="s">
        <v>1127</v>
      </c>
      <c r="C31" s="78" t="s">
        <v>1128</v>
      </c>
      <c r="D31" s="57" t="s">
        <v>397</v>
      </c>
      <c r="E31" s="79">
        <v>38897</v>
      </c>
      <c r="F31" s="57">
        <v>587</v>
      </c>
      <c r="G31" s="57" t="s">
        <v>392</v>
      </c>
      <c r="H31" s="57" t="s">
        <v>371</v>
      </c>
      <c r="I31" s="79">
        <v>45569</v>
      </c>
      <c r="J31" s="78" t="s">
        <v>1129</v>
      </c>
      <c r="K31" s="57" t="s">
        <v>1130</v>
      </c>
      <c r="L31" s="78"/>
      <c r="M31" s="78">
        <v>7812885845</v>
      </c>
      <c r="N31" s="78">
        <v>790426679</v>
      </c>
      <c r="O31" s="78">
        <v>8072658317</v>
      </c>
      <c r="P31" s="78"/>
      <c r="Q31" s="80"/>
      <c r="R31" s="81">
        <v>633271221734</v>
      </c>
      <c r="S31" s="78" t="s">
        <v>1131</v>
      </c>
    </row>
    <row r="32" spans="1:19" ht="18.75" x14ac:dyDescent="0.25">
      <c r="A32" s="57">
        <v>30</v>
      </c>
      <c r="B32" s="57" t="s">
        <v>1132</v>
      </c>
      <c r="C32" s="78" t="s">
        <v>1133</v>
      </c>
      <c r="D32" s="57" t="s">
        <v>397</v>
      </c>
      <c r="E32" s="79">
        <v>38276</v>
      </c>
      <c r="F32" s="57">
        <v>303</v>
      </c>
      <c r="G32" s="57" t="s">
        <v>983</v>
      </c>
      <c r="H32" s="57" t="s">
        <v>44</v>
      </c>
      <c r="I32" s="79">
        <v>45588</v>
      </c>
      <c r="J32" s="78" t="s">
        <v>1134</v>
      </c>
      <c r="K32" s="57" t="s">
        <v>1135</v>
      </c>
      <c r="L32" s="78"/>
      <c r="M32" s="78">
        <v>8072257593</v>
      </c>
      <c r="N32" s="78"/>
      <c r="O32" s="78">
        <v>8072776144</v>
      </c>
      <c r="P32" s="78"/>
      <c r="Q32" s="80">
        <v>2000712569</v>
      </c>
      <c r="R32" s="81">
        <v>508561328106</v>
      </c>
      <c r="S32" s="78"/>
    </row>
    <row r="33" spans="1:19" ht="18.75" x14ac:dyDescent="0.25">
      <c r="A33" s="57">
        <v>31</v>
      </c>
      <c r="B33" s="57" t="s">
        <v>1136</v>
      </c>
      <c r="C33" s="78" t="s">
        <v>1137</v>
      </c>
      <c r="D33" s="57" t="s">
        <v>391</v>
      </c>
      <c r="E33" s="79">
        <v>38812</v>
      </c>
      <c r="F33" s="57">
        <v>587</v>
      </c>
      <c r="G33" s="57" t="s">
        <v>392</v>
      </c>
      <c r="H33" s="57" t="s">
        <v>371</v>
      </c>
      <c r="I33" s="79">
        <v>45565</v>
      </c>
      <c r="J33" s="78" t="s">
        <v>1138</v>
      </c>
      <c r="K33" s="57" t="s">
        <v>1139</v>
      </c>
      <c r="L33" s="78"/>
      <c r="M33" s="78">
        <v>7708106303</v>
      </c>
      <c r="N33" s="78">
        <v>9585379011</v>
      </c>
      <c r="O33" s="78"/>
      <c r="P33" s="78"/>
      <c r="Q33" s="80"/>
      <c r="R33" s="81">
        <v>231150042932</v>
      </c>
      <c r="S33" s="78" t="s">
        <v>1140</v>
      </c>
    </row>
    <row r="34" spans="1:19" ht="18.75" x14ac:dyDescent="0.25">
      <c r="A34" s="57">
        <v>32</v>
      </c>
      <c r="B34" s="57" t="s">
        <v>1141</v>
      </c>
      <c r="C34" s="78" t="s">
        <v>1142</v>
      </c>
      <c r="D34" s="57" t="s">
        <v>391</v>
      </c>
      <c r="E34" s="79">
        <v>38695</v>
      </c>
      <c r="F34" s="57">
        <v>348</v>
      </c>
      <c r="G34" s="57" t="s">
        <v>417</v>
      </c>
      <c r="H34" s="57" t="s">
        <v>210</v>
      </c>
      <c r="I34" s="79">
        <v>45537</v>
      </c>
      <c r="J34" s="78" t="s">
        <v>1143</v>
      </c>
      <c r="K34" s="57" t="s">
        <v>1144</v>
      </c>
      <c r="L34" s="78"/>
      <c r="M34" s="78"/>
      <c r="N34" s="78">
        <v>9442461754</v>
      </c>
      <c r="O34" s="78">
        <v>9894979771</v>
      </c>
      <c r="P34" s="78"/>
      <c r="Q34" s="80">
        <v>2001890138</v>
      </c>
      <c r="R34" s="81">
        <v>904903631055</v>
      </c>
      <c r="S34" s="78" t="s">
        <v>1145</v>
      </c>
    </row>
    <row r="35" spans="1:19" ht="18.75" x14ac:dyDescent="0.25">
      <c r="A35" s="57">
        <v>33</v>
      </c>
      <c r="B35" s="57" t="s">
        <v>1146</v>
      </c>
      <c r="C35" s="78" t="s">
        <v>1147</v>
      </c>
      <c r="D35" s="57" t="s">
        <v>397</v>
      </c>
      <c r="E35" s="79">
        <v>37601</v>
      </c>
      <c r="F35" s="57">
        <v>351</v>
      </c>
      <c r="G35" s="57" t="s">
        <v>417</v>
      </c>
      <c r="H35" s="57" t="s">
        <v>210</v>
      </c>
      <c r="I35" s="79">
        <v>45537</v>
      </c>
      <c r="J35" s="78" t="s">
        <v>1148</v>
      </c>
      <c r="K35" s="57" t="s">
        <v>1149</v>
      </c>
      <c r="L35" s="78"/>
      <c r="M35" s="78">
        <v>8220652044</v>
      </c>
      <c r="N35" s="78">
        <v>8072667494</v>
      </c>
      <c r="O35" s="78">
        <v>8925354454</v>
      </c>
      <c r="P35" s="78"/>
      <c r="Q35" s="80" t="s">
        <v>1150</v>
      </c>
      <c r="R35" s="81">
        <v>670082598867</v>
      </c>
      <c r="S35" s="78" t="s">
        <v>1151</v>
      </c>
    </row>
    <row r="36" spans="1:19" ht="18.75" x14ac:dyDescent="0.25">
      <c r="A36" s="57">
        <v>34</v>
      </c>
      <c r="B36" s="57" t="s">
        <v>1152</v>
      </c>
      <c r="C36" s="78" t="s">
        <v>1153</v>
      </c>
      <c r="D36" s="57" t="s">
        <v>1000</v>
      </c>
      <c r="E36" s="79">
        <v>38485</v>
      </c>
      <c r="F36" s="57">
        <v>590</v>
      </c>
      <c r="G36" s="57" t="s">
        <v>392</v>
      </c>
      <c r="H36" s="57" t="s">
        <v>371</v>
      </c>
      <c r="I36" s="79">
        <v>45539</v>
      </c>
      <c r="J36" s="78" t="s">
        <v>1154</v>
      </c>
      <c r="K36" s="57" t="s">
        <v>1155</v>
      </c>
      <c r="L36" s="78"/>
      <c r="M36" s="78">
        <v>6382333150</v>
      </c>
      <c r="N36" s="78">
        <v>9842533229</v>
      </c>
      <c r="O36" s="78">
        <v>9976969043</v>
      </c>
      <c r="P36" s="78"/>
      <c r="Q36" s="80" t="s">
        <v>1156</v>
      </c>
      <c r="R36" s="81">
        <v>872971536110</v>
      </c>
      <c r="S36" s="78" t="s">
        <v>1157</v>
      </c>
    </row>
    <row r="37" spans="1:19" ht="18.75" x14ac:dyDescent="0.25">
      <c r="A37" s="57">
        <v>35</v>
      </c>
      <c r="B37" s="57" t="s">
        <v>1158</v>
      </c>
      <c r="C37" s="78" t="s">
        <v>1159</v>
      </c>
      <c r="D37" s="57" t="s">
        <v>391</v>
      </c>
      <c r="E37" s="79">
        <v>38182</v>
      </c>
      <c r="F37" s="57">
        <v>608</v>
      </c>
      <c r="G37" s="57" t="s">
        <v>392</v>
      </c>
      <c r="H37" s="57" t="s">
        <v>210</v>
      </c>
      <c r="I37" s="79">
        <v>45569</v>
      </c>
      <c r="J37" s="78" t="s">
        <v>1160</v>
      </c>
      <c r="K37" s="57" t="s">
        <v>1161</v>
      </c>
      <c r="L37" s="78"/>
      <c r="M37" s="78">
        <v>8637456075</v>
      </c>
      <c r="N37" s="78">
        <v>6380633574</v>
      </c>
      <c r="O37" s="78">
        <v>9150695639</v>
      </c>
      <c r="P37" s="78"/>
      <c r="Q37" s="80" t="s">
        <v>1162</v>
      </c>
      <c r="R37" s="81">
        <v>488122465228</v>
      </c>
      <c r="S37" s="78" t="s">
        <v>1163</v>
      </c>
    </row>
    <row r="38" spans="1:19" ht="18.75" x14ac:dyDescent="0.25">
      <c r="A38" s="57">
        <v>36</v>
      </c>
      <c r="B38" s="57" t="s">
        <v>1164</v>
      </c>
      <c r="C38" s="78" t="s">
        <v>1165</v>
      </c>
      <c r="D38" s="57" t="s">
        <v>391</v>
      </c>
      <c r="E38" s="79">
        <v>39236</v>
      </c>
      <c r="F38" s="57">
        <v>333</v>
      </c>
      <c r="G38" s="57" t="s">
        <v>983</v>
      </c>
      <c r="H38" s="57" t="s">
        <v>210</v>
      </c>
      <c r="I38" s="79">
        <v>45565</v>
      </c>
      <c r="J38" s="78" t="s">
        <v>1166</v>
      </c>
      <c r="K38" s="57" t="s">
        <v>1167</v>
      </c>
      <c r="L38" s="78"/>
      <c r="M38" s="78">
        <v>8189963842</v>
      </c>
      <c r="N38" s="78">
        <v>9443919180</v>
      </c>
      <c r="O38" s="78">
        <v>9498187396</v>
      </c>
      <c r="P38" s="78"/>
      <c r="Q38" s="80">
        <v>2006565445</v>
      </c>
      <c r="R38" s="81">
        <v>855016729108</v>
      </c>
      <c r="S38" s="78" t="s">
        <v>1168</v>
      </c>
    </row>
    <row r="39" spans="1:19" ht="18.75" x14ac:dyDescent="0.25">
      <c r="A39" s="57">
        <v>37</v>
      </c>
      <c r="B39" s="57" t="s">
        <v>1169</v>
      </c>
      <c r="C39" s="78" t="s">
        <v>1170</v>
      </c>
      <c r="D39" s="57" t="s">
        <v>397</v>
      </c>
      <c r="E39" s="79">
        <v>38621</v>
      </c>
      <c r="F39" s="57">
        <v>597</v>
      </c>
      <c r="G39" s="57" t="s">
        <v>392</v>
      </c>
      <c r="H39" s="57" t="s">
        <v>217</v>
      </c>
      <c r="I39" s="79">
        <v>45537</v>
      </c>
      <c r="J39" s="78" t="s">
        <v>1171</v>
      </c>
      <c r="K39" s="57" t="s">
        <v>1172</v>
      </c>
      <c r="L39" s="78"/>
      <c r="M39" s="78">
        <v>8270203701</v>
      </c>
      <c r="N39" s="78">
        <v>9442789163</v>
      </c>
      <c r="O39" s="78">
        <v>9047449515</v>
      </c>
      <c r="P39" s="78"/>
      <c r="Q39" s="80" t="s">
        <v>1173</v>
      </c>
      <c r="R39" s="81">
        <v>759154676607</v>
      </c>
      <c r="S39" s="78" t="s">
        <v>1174</v>
      </c>
    </row>
    <row r="40" spans="1:19" ht="18.75" x14ac:dyDescent="0.25">
      <c r="A40" s="57">
        <v>38</v>
      </c>
      <c r="B40" s="57" t="s">
        <v>1175</v>
      </c>
      <c r="C40" s="78" t="s">
        <v>1176</v>
      </c>
      <c r="D40" s="57" t="s">
        <v>391</v>
      </c>
      <c r="E40" s="79">
        <v>38633</v>
      </c>
      <c r="F40" s="57">
        <v>330</v>
      </c>
      <c r="G40" s="57" t="s">
        <v>417</v>
      </c>
      <c r="H40" s="57" t="s">
        <v>210</v>
      </c>
      <c r="I40" s="79">
        <v>45539</v>
      </c>
      <c r="J40" s="78" t="s">
        <v>1177</v>
      </c>
      <c r="K40" s="57" t="s">
        <v>1178</v>
      </c>
      <c r="L40" s="78"/>
      <c r="M40" s="78">
        <v>9363295186</v>
      </c>
      <c r="N40" s="78">
        <v>9786387140</v>
      </c>
      <c r="O40" s="78">
        <v>9500780878</v>
      </c>
      <c r="P40" s="78"/>
      <c r="Q40" s="80">
        <v>2019249170</v>
      </c>
      <c r="R40" s="81">
        <v>429450349972</v>
      </c>
      <c r="S40" s="78" t="s">
        <v>1179</v>
      </c>
    </row>
    <row r="41" spans="1:19" ht="18.75" x14ac:dyDescent="0.25">
      <c r="A41" s="57">
        <v>39</v>
      </c>
      <c r="B41" s="57" t="s">
        <v>1180</v>
      </c>
      <c r="C41" s="78" t="s">
        <v>1181</v>
      </c>
      <c r="D41" s="57" t="s">
        <v>397</v>
      </c>
      <c r="E41" s="79">
        <v>39022</v>
      </c>
      <c r="F41" s="57">
        <v>600</v>
      </c>
      <c r="G41" s="57" t="s">
        <v>392</v>
      </c>
      <c r="H41" s="57" t="s">
        <v>210</v>
      </c>
      <c r="I41" s="79">
        <v>45585</v>
      </c>
      <c r="J41" s="78" t="s">
        <v>1182</v>
      </c>
      <c r="K41" s="57" t="s">
        <v>1183</v>
      </c>
      <c r="L41" s="78"/>
      <c r="M41" s="78">
        <v>8438912808</v>
      </c>
      <c r="N41" s="78">
        <v>9842112808</v>
      </c>
      <c r="O41" s="78">
        <v>6380554763</v>
      </c>
      <c r="P41" s="78"/>
      <c r="Q41" s="80"/>
      <c r="R41" s="81">
        <v>343167448828</v>
      </c>
      <c r="S41" s="78" t="s">
        <v>1184</v>
      </c>
    </row>
    <row r="42" spans="1:19" ht="18.75" x14ac:dyDescent="0.25">
      <c r="A42" s="57">
        <v>40</v>
      </c>
      <c r="B42" s="57" t="s">
        <v>1185</v>
      </c>
      <c r="C42" s="78" t="s">
        <v>1186</v>
      </c>
      <c r="D42" s="57" t="s">
        <v>397</v>
      </c>
      <c r="E42" s="79">
        <v>38639</v>
      </c>
      <c r="F42" s="57">
        <v>450</v>
      </c>
      <c r="G42" s="57" t="s">
        <v>392</v>
      </c>
      <c r="H42" s="57" t="s">
        <v>241</v>
      </c>
      <c r="I42" s="79">
        <v>45569</v>
      </c>
      <c r="J42" s="78" t="s">
        <v>1187</v>
      </c>
      <c r="K42" s="57" t="s">
        <v>1188</v>
      </c>
      <c r="L42" s="78"/>
      <c r="M42" s="78"/>
      <c r="N42" s="78">
        <v>8861239691</v>
      </c>
      <c r="O42" s="78">
        <v>9047647639</v>
      </c>
      <c r="P42" s="78"/>
      <c r="Q42" s="80">
        <v>2001409402</v>
      </c>
      <c r="R42" s="81">
        <v>957896194398</v>
      </c>
      <c r="S42" s="78" t="s">
        <v>1189</v>
      </c>
    </row>
    <row r="43" spans="1:19" ht="18.75" x14ac:dyDescent="0.25">
      <c r="A43" s="57">
        <v>41</v>
      </c>
      <c r="B43" s="57" t="s">
        <v>1190</v>
      </c>
      <c r="C43" s="78" t="s">
        <v>1191</v>
      </c>
      <c r="D43" s="57" t="s">
        <v>397</v>
      </c>
      <c r="E43" s="79">
        <v>38720</v>
      </c>
      <c r="F43" s="57">
        <v>364</v>
      </c>
      <c r="G43" s="57" t="s">
        <v>417</v>
      </c>
      <c r="H43" s="57" t="s">
        <v>210</v>
      </c>
      <c r="I43" s="79">
        <v>45567</v>
      </c>
      <c r="J43" s="78" t="s">
        <v>1192</v>
      </c>
      <c r="K43" s="57" t="s">
        <v>1193</v>
      </c>
      <c r="L43" s="78"/>
      <c r="M43" s="78">
        <v>6369290045</v>
      </c>
      <c r="N43" s="78">
        <v>9043981073</v>
      </c>
      <c r="O43" s="78">
        <v>9715668665</v>
      </c>
      <c r="P43" s="78"/>
      <c r="Q43" s="80">
        <v>2015715893</v>
      </c>
      <c r="R43" s="81">
        <v>823280741099</v>
      </c>
      <c r="S43" s="78" t="s">
        <v>1194</v>
      </c>
    </row>
    <row r="44" spans="1:19" ht="18.75" x14ac:dyDescent="0.25">
      <c r="A44" s="57">
        <v>42</v>
      </c>
      <c r="B44" s="57" t="s">
        <v>1195</v>
      </c>
      <c r="C44" s="78" t="s">
        <v>1196</v>
      </c>
      <c r="D44" s="57" t="s">
        <v>1000</v>
      </c>
      <c r="E44" s="79">
        <v>37829</v>
      </c>
      <c r="F44" s="57">
        <v>389</v>
      </c>
      <c r="G44" s="57" t="s">
        <v>417</v>
      </c>
      <c r="H44" s="57" t="s">
        <v>210</v>
      </c>
      <c r="I44" s="79">
        <v>45567</v>
      </c>
      <c r="J44" s="78" t="s">
        <v>1197</v>
      </c>
      <c r="K44" s="57" t="s">
        <v>1198</v>
      </c>
      <c r="L44" s="78"/>
      <c r="M44" s="78"/>
      <c r="N44" s="78">
        <v>9952145116</v>
      </c>
      <c r="O44" s="78">
        <v>8248861695</v>
      </c>
      <c r="P44" s="78"/>
      <c r="Q44" s="80" t="s">
        <v>1199</v>
      </c>
      <c r="R44" s="81">
        <v>743965665438</v>
      </c>
      <c r="S44" s="78"/>
    </row>
    <row r="45" spans="1:19" ht="18.75" x14ac:dyDescent="0.25">
      <c r="A45" s="57">
        <v>43</v>
      </c>
      <c r="B45" s="57" t="s">
        <v>1200</v>
      </c>
      <c r="C45" s="78" t="s">
        <v>1201</v>
      </c>
      <c r="D45" s="57" t="s">
        <v>391</v>
      </c>
      <c r="E45" s="79">
        <v>38678</v>
      </c>
      <c r="F45" s="57">
        <v>589</v>
      </c>
      <c r="G45" s="57" t="s">
        <v>392</v>
      </c>
      <c r="H45" s="57" t="s">
        <v>371</v>
      </c>
      <c r="I45" s="79">
        <v>45539</v>
      </c>
      <c r="J45" s="78" t="s">
        <v>1202</v>
      </c>
      <c r="K45" s="57" t="s">
        <v>1203</v>
      </c>
      <c r="L45" s="78"/>
      <c r="M45" s="78">
        <v>9944626221</v>
      </c>
      <c r="N45" s="78">
        <v>9489488646</v>
      </c>
      <c r="O45" s="78">
        <v>9791236333</v>
      </c>
      <c r="P45" s="78"/>
      <c r="Q45" s="80">
        <v>2018587103</v>
      </c>
      <c r="R45" s="81">
        <v>391713285187</v>
      </c>
      <c r="S45" s="78" t="s">
        <v>1204</v>
      </c>
    </row>
    <row r="46" spans="1:19" ht="18.75" x14ac:dyDescent="0.25">
      <c r="A46" s="57">
        <v>44</v>
      </c>
      <c r="B46" s="57" t="s">
        <v>1205</v>
      </c>
      <c r="C46" s="78" t="s">
        <v>1206</v>
      </c>
      <c r="D46" s="57" t="s">
        <v>391</v>
      </c>
      <c r="E46" s="79">
        <v>38786</v>
      </c>
      <c r="F46" s="57">
        <v>334</v>
      </c>
      <c r="G46" s="57" t="s">
        <v>417</v>
      </c>
      <c r="H46" s="57" t="s">
        <v>210</v>
      </c>
      <c r="I46" s="79">
        <v>45539</v>
      </c>
      <c r="J46" s="78" t="s">
        <v>1207</v>
      </c>
      <c r="K46" s="57" t="s">
        <v>1208</v>
      </c>
      <c r="L46" s="78"/>
      <c r="M46" s="78">
        <v>9087879060</v>
      </c>
      <c r="N46" s="78">
        <v>9047306158</v>
      </c>
      <c r="O46" s="78">
        <v>9790328388</v>
      </c>
      <c r="P46" s="78"/>
      <c r="Q46" s="80"/>
      <c r="R46" s="81">
        <v>714597237532</v>
      </c>
      <c r="S46" s="78"/>
    </row>
    <row r="47" spans="1:19" ht="18.75" x14ac:dyDescent="0.25">
      <c r="A47" s="57">
        <v>45</v>
      </c>
      <c r="B47" s="57" t="s">
        <v>1209</v>
      </c>
      <c r="C47" s="78" t="s">
        <v>1210</v>
      </c>
      <c r="D47" s="57" t="s">
        <v>1000</v>
      </c>
      <c r="E47" s="79">
        <v>38513</v>
      </c>
      <c r="F47" s="57">
        <v>319</v>
      </c>
      <c r="G47" s="57" t="s">
        <v>417</v>
      </c>
      <c r="H47" s="57" t="s">
        <v>222</v>
      </c>
      <c r="I47" s="79">
        <v>45565</v>
      </c>
      <c r="J47" s="78" t="s">
        <v>1211</v>
      </c>
      <c r="K47" s="57" t="s">
        <v>1212</v>
      </c>
      <c r="L47" s="78"/>
      <c r="M47" s="78">
        <v>9994949346</v>
      </c>
      <c r="N47" s="78">
        <v>9245449475</v>
      </c>
      <c r="O47" s="78">
        <v>6369303332</v>
      </c>
      <c r="P47" s="78"/>
      <c r="Q47" s="80" t="s">
        <v>1213</v>
      </c>
      <c r="R47" s="81">
        <v>472280794004</v>
      </c>
      <c r="S47" s="78" t="s">
        <v>1214</v>
      </c>
    </row>
    <row r="48" spans="1:19" ht="18.75" x14ac:dyDescent="0.25">
      <c r="A48" s="57">
        <v>46</v>
      </c>
      <c r="B48" s="57" t="s">
        <v>1215</v>
      </c>
      <c r="C48" s="78" t="s">
        <v>1216</v>
      </c>
      <c r="D48" s="57" t="s">
        <v>391</v>
      </c>
      <c r="E48" s="79">
        <v>38564</v>
      </c>
      <c r="F48" s="57">
        <v>345</v>
      </c>
      <c r="G48" s="57" t="s">
        <v>417</v>
      </c>
      <c r="H48" s="57" t="s">
        <v>222</v>
      </c>
      <c r="I48" s="79">
        <v>45569</v>
      </c>
      <c r="J48" s="78" t="s">
        <v>1217</v>
      </c>
      <c r="K48" s="57" t="s">
        <v>1218</v>
      </c>
      <c r="L48" s="78"/>
      <c r="M48" s="78">
        <v>8681023386</v>
      </c>
      <c r="N48" s="78">
        <v>9791065032</v>
      </c>
      <c r="O48" s="78">
        <v>9047262978</v>
      </c>
      <c r="P48" s="78"/>
      <c r="Q48" s="80" t="s">
        <v>1219</v>
      </c>
      <c r="R48" s="81">
        <v>487601094398</v>
      </c>
      <c r="S48" s="78" t="s">
        <v>1220</v>
      </c>
    </row>
    <row r="49" spans="1:19" ht="18.75" x14ac:dyDescent="0.25">
      <c r="A49" s="57">
        <v>47</v>
      </c>
      <c r="B49" s="57" t="s">
        <v>1221</v>
      </c>
      <c r="C49" s="78" t="s">
        <v>1222</v>
      </c>
      <c r="D49" s="57" t="s">
        <v>1223</v>
      </c>
      <c r="E49" s="79">
        <v>38951</v>
      </c>
      <c r="F49" s="57">
        <v>607</v>
      </c>
      <c r="G49" s="57" t="s">
        <v>660</v>
      </c>
      <c r="H49" s="57" t="s">
        <v>1224</v>
      </c>
      <c r="I49" s="79">
        <v>45539</v>
      </c>
      <c r="J49" s="57" t="s">
        <v>473</v>
      </c>
      <c r="K49" s="57" t="s">
        <v>1225</v>
      </c>
      <c r="L49" s="78"/>
      <c r="M49" s="78">
        <v>9514466172</v>
      </c>
      <c r="N49" s="78"/>
      <c r="O49" s="78">
        <v>9543689238</v>
      </c>
      <c r="P49" s="78"/>
      <c r="Q49" s="80"/>
      <c r="R49" s="81">
        <v>548878014266</v>
      </c>
      <c r="S49" s="78" t="s">
        <v>1226</v>
      </c>
    </row>
    <row r="50" spans="1:19" ht="18.75" x14ac:dyDescent="0.25">
      <c r="A50" s="57">
        <v>48</v>
      </c>
      <c r="B50" s="57" t="s">
        <v>1227</v>
      </c>
      <c r="C50" s="78" t="s">
        <v>1228</v>
      </c>
      <c r="D50" s="57" t="s">
        <v>397</v>
      </c>
      <c r="E50" s="79">
        <v>39059</v>
      </c>
      <c r="F50" s="57">
        <v>395</v>
      </c>
      <c r="G50" s="57" t="s">
        <v>417</v>
      </c>
      <c r="H50" s="57" t="s">
        <v>210</v>
      </c>
      <c r="I50" s="79">
        <v>45539</v>
      </c>
      <c r="J50" s="78" t="s">
        <v>1229</v>
      </c>
      <c r="K50" s="57" t="s">
        <v>1230</v>
      </c>
      <c r="L50" s="78"/>
      <c r="M50" s="78">
        <v>6384136871</v>
      </c>
      <c r="N50" s="78">
        <v>9159087999</v>
      </c>
      <c r="O50" s="78">
        <v>9843459896</v>
      </c>
      <c r="P50" s="78"/>
      <c r="Q50" s="80">
        <v>2019582060</v>
      </c>
      <c r="R50" s="81">
        <v>547539850954</v>
      </c>
      <c r="S50" s="78" t="s">
        <v>1231</v>
      </c>
    </row>
    <row r="51" spans="1:19" ht="18.75" x14ac:dyDescent="0.25">
      <c r="A51" s="57">
        <v>49</v>
      </c>
      <c r="B51" s="57" t="s">
        <v>1232</v>
      </c>
      <c r="C51" s="78" t="s">
        <v>1233</v>
      </c>
      <c r="D51" s="57" t="s">
        <v>391</v>
      </c>
      <c r="E51" s="79">
        <v>38540</v>
      </c>
      <c r="F51" s="57">
        <v>483</v>
      </c>
      <c r="G51" s="57">
        <v>7.5</v>
      </c>
      <c r="H51" s="57" t="s">
        <v>210</v>
      </c>
      <c r="I51" s="79">
        <v>45534</v>
      </c>
      <c r="J51" s="78" t="s">
        <v>1234</v>
      </c>
      <c r="K51" s="57" t="s">
        <v>1235</v>
      </c>
      <c r="L51" s="78"/>
      <c r="M51" s="78">
        <v>7845084857</v>
      </c>
      <c r="N51" s="78" t="s">
        <v>1236</v>
      </c>
      <c r="O51" s="78" t="s">
        <v>473</v>
      </c>
      <c r="P51" s="78"/>
      <c r="Q51" s="80" t="s">
        <v>1237</v>
      </c>
      <c r="R51" s="81">
        <v>992430149123</v>
      </c>
      <c r="S51" s="78" t="s">
        <v>1238</v>
      </c>
    </row>
    <row r="52" spans="1:19" ht="18.75" x14ac:dyDescent="0.25">
      <c r="A52" s="57">
        <v>50</v>
      </c>
      <c r="B52" s="57" t="s">
        <v>1239</v>
      </c>
      <c r="C52" s="78" t="s">
        <v>1240</v>
      </c>
      <c r="D52" s="57" t="s">
        <v>391</v>
      </c>
      <c r="E52" s="79">
        <v>38322</v>
      </c>
      <c r="F52" s="57">
        <v>587</v>
      </c>
      <c r="G52" s="57" t="s">
        <v>392</v>
      </c>
      <c r="H52" s="57" t="s">
        <v>371</v>
      </c>
      <c r="I52" s="79">
        <v>45537</v>
      </c>
      <c r="J52" s="78" t="s">
        <v>1241</v>
      </c>
      <c r="K52" s="57" t="s">
        <v>1242</v>
      </c>
      <c r="L52" s="78"/>
      <c r="M52" s="78">
        <v>8248779574</v>
      </c>
      <c r="N52" s="78">
        <v>9488428489</v>
      </c>
      <c r="O52" s="78">
        <v>9488428498</v>
      </c>
      <c r="P52" s="78"/>
      <c r="Q52" s="80" t="s">
        <v>1243</v>
      </c>
      <c r="R52" s="81">
        <v>979055288074</v>
      </c>
      <c r="S52" s="78" t="s">
        <v>1244</v>
      </c>
    </row>
    <row r="53" spans="1:19" ht="18.75" x14ac:dyDescent="0.25">
      <c r="A53" s="57">
        <v>51</v>
      </c>
      <c r="B53" s="57" t="s">
        <v>1245</v>
      </c>
      <c r="C53" s="78" t="s">
        <v>1246</v>
      </c>
      <c r="D53" s="57" t="s">
        <v>397</v>
      </c>
      <c r="E53" s="79">
        <v>45570</v>
      </c>
      <c r="F53" s="57">
        <v>412</v>
      </c>
      <c r="G53" s="57" t="s">
        <v>983</v>
      </c>
      <c r="H53" s="57" t="s">
        <v>403</v>
      </c>
      <c r="I53" s="79">
        <v>45570</v>
      </c>
      <c r="J53" s="78" t="s">
        <v>1247</v>
      </c>
      <c r="K53" s="57" t="s">
        <v>1248</v>
      </c>
      <c r="L53" s="78"/>
      <c r="M53" s="78">
        <v>8973955022</v>
      </c>
      <c r="N53" s="78">
        <v>9443955022</v>
      </c>
      <c r="O53" s="78">
        <v>9655508701</v>
      </c>
      <c r="P53" s="78"/>
      <c r="Q53" s="80" t="s">
        <v>1249</v>
      </c>
      <c r="R53" s="81">
        <v>992790251386</v>
      </c>
      <c r="S53" s="78" t="s">
        <v>1250</v>
      </c>
    </row>
    <row r="54" spans="1:19" ht="18.75" x14ac:dyDescent="0.25">
      <c r="A54" s="57">
        <v>52</v>
      </c>
      <c r="B54" s="57" t="s">
        <v>1251</v>
      </c>
      <c r="C54" s="78" t="s">
        <v>1252</v>
      </c>
      <c r="D54" s="57" t="s">
        <v>397</v>
      </c>
      <c r="E54" s="79">
        <v>38907</v>
      </c>
      <c r="F54" s="57">
        <v>490</v>
      </c>
      <c r="G54" s="57">
        <v>7.5</v>
      </c>
      <c r="H54" s="57" t="s">
        <v>210</v>
      </c>
      <c r="I54" s="79">
        <v>45534</v>
      </c>
      <c r="J54" s="78" t="s">
        <v>1253</v>
      </c>
      <c r="K54" s="57" t="s">
        <v>1254</v>
      </c>
      <c r="L54" s="78"/>
      <c r="M54" s="78" t="s">
        <v>473</v>
      </c>
      <c r="N54" s="78" t="s">
        <v>473</v>
      </c>
      <c r="O54" s="78">
        <v>9047666800</v>
      </c>
      <c r="P54" s="78"/>
      <c r="Q54" s="80">
        <v>1005755931</v>
      </c>
      <c r="R54" s="81">
        <v>560405586467</v>
      </c>
      <c r="S54" s="78" t="s">
        <v>1255</v>
      </c>
    </row>
    <row r="55" spans="1:19" ht="18.75" x14ac:dyDescent="0.25">
      <c r="A55" s="57">
        <v>53</v>
      </c>
      <c r="B55" s="57" t="s">
        <v>1256</v>
      </c>
      <c r="C55" s="78" t="s">
        <v>1257</v>
      </c>
      <c r="D55" s="57" t="s">
        <v>397</v>
      </c>
      <c r="E55" s="79">
        <v>38308</v>
      </c>
      <c r="F55" s="57">
        <v>460</v>
      </c>
      <c r="G55" s="57" t="s">
        <v>417</v>
      </c>
      <c r="H55" s="57" t="s">
        <v>210</v>
      </c>
      <c r="I55" s="79">
        <v>45535</v>
      </c>
      <c r="J55" s="78" t="s">
        <v>1258</v>
      </c>
      <c r="K55" s="57" t="s">
        <v>1259</v>
      </c>
      <c r="L55" s="78"/>
      <c r="M55" s="78">
        <v>9442367635</v>
      </c>
      <c r="N55" s="78" t="s">
        <v>1260</v>
      </c>
      <c r="O55" s="78">
        <v>9791423773</v>
      </c>
      <c r="P55" s="78"/>
      <c r="Q55" s="80"/>
      <c r="R55" s="81">
        <v>640232993420</v>
      </c>
      <c r="S55" s="78" t="s">
        <v>1261</v>
      </c>
    </row>
    <row r="56" spans="1:19" ht="18.75" x14ac:dyDescent="0.25">
      <c r="A56" s="57">
        <v>54</v>
      </c>
      <c r="B56" s="57" t="s">
        <v>1262</v>
      </c>
      <c r="C56" s="78" t="s">
        <v>1263</v>
      </c>
      <c r="D56" s="57" t="s">
        <v>982</v>
      </c>
      <c r="E56" s="79">
        <v>38557</v>
      </c>
      <c r="F56" s="57">
        <v>506</v>
      </c>
      <c r="G56" s="57" t="s">
        <v>392</v>
      </c>
      <c r="H56" s="57" t="s">
        <v>44</v>
      </c>
      <c r="I56" s="79">
        <v>45586</v>
      </c>
      <c r="J56" s="78" t="s">
        <v>1264</v>
      </c>
      <c r="K56" s="57" t="s">
        <v>1265</v>
      </c>
      <c r="L56" s="78"/>
      <c r="M56" s="78">
        <v>9791689746</v>
      </c>
      <c r="N56" s="78">
        <v>9965283619</v>
      </c>
      <c r="O56" s="78">
        <v>8072866289</v>
      </c>
      <c r="P56" s="78"/>
      <c r="Q56" s="80" t="s">
        <v>1266</v>
      </c>
      <c r="R56" s="81">
        <v>209166445627</v>
      </c>
      <c r="S56" s="78" t="s">
        <v>1267</v>
      </c>
    </row>
    <row r="57" spans="1:19" ht="18.75" x14ac:dyDescent="0.25">
      <c r="A57" s="57">
        <v>55</v>
      </c>
      <c r="B57" s="57" t="s">
        <v>1268</v>
      </c>
      <c r="C57" s="78" t="s">
        <v>1269</v>
      </c>
      <c r="D57" s="57" t="s">
        <v>391</v>
      </c>
      <c r="E57" s="79">
        <v>38300</v>
      </c>
      <c r="F57" s="57">
        <v>601</v>
      </c>
      <c r="G57" s="57" t="s">
        <v>392</v>
      </c>
      <c r="H57" s="57" t="s">
        <v>210</v>
      </c>
      <c r="I57" s="79">
        <v>45539</v>
      </c>
      <c r="J57" s="78" t="s">
        <v>1270</v>
      </c>
      <c r="K57" s="57" t="s">
        <v>1271</v>
      </c>
      <c r="L57" s="78"/>
      <c r="M57" s="78">
        <v>8825639112</v>
      </c>
      <c r="N57" s="78">
        <v>7373637870</v>
      </c>
      <c r="O57" s="78">
        <v>9345787467</v>
      </c>
      <c r="P57" s="78"/>
      <c r="Q57" s="80" t="s">
        <v>1272</v>
      </c>
      <c r="R57" s="81">
        <v>369129834331</v>
      </c>
      <c r="S57" s="78" t="s">
        <v>1273</v>
      </c>
    </row>
    <row r="58" spans="1:19" ht="18.75" x14ac:dyDescent="0.25">
      <c r="A58" s="57">
        <v>56</v>
      </c>
      <c r="B58" s="57" t="s">
        <v>1274</v>
      </c>
      <c r="C58" s="78" t="s">
        <v>1275</v>
      </c>
      <c r="D58" s="57" t="s">
        <v>397</v>
      </c>
      <c r="E58" s="79">
        <v>39156</v>
      </c>
      <c r="F58" s="57">
        <v>334</v>
      </c>
      <c r="G58" s="57" t="s">
        <v>417</v>
      </c>
      <c r="H58" s="57" t="s">
        <v>210</v>
      </c>
      <c r="I58" s="79">
        <v>45569</v>
      </c>
      <c r="J58" s="78" t="s">
        <v>1276</v>
      </c>
      <c r="K58" s="57" t="s">
        <v>1277</v>
      </c>
      <c r="L58" s="78"/>
      <c r="M58" s="78">
        <v>7338700899</v>
      </c>
      <c r="N58" s="78">
        <v>9600003126</v>
      </c>
      <c r="O58" s="78"/>
      <c r="P58" s="78"/>
      <c r="Q58" s="80" t="s">
        <v>1278</v>
      </c>
      <c r="R58" s="81">
        <v>926298331111</v>
      </c>
      <c r="S58" s="78" t="s">
        <v>1279</v>
      </c>
    </row>
    <row r="59" spans="1:19" ht="18.75" x14ac:dyDescent="0.25">
      <c r="A59" s="57">
        <v>57</v>
      </c>
      <c r="B59" s="57" t="s">
        <v>1280</v>
      </c>
      <c r="C59" s="78" t="s">
        <v>1281</v>
      </c>
      <c r="D59" s="57" t="s">
        <v>391</v>
      </c>
      <c r="E59" s="79">
        <v>38820</v>
      </c>
      <c r="F59" s="57">
        <v>600</v>
      </c>
      <c r="G59" s="57" t="s">
        <v>392</v>
      </c>
      <c r="H59" s="57" t="s">
        <v>210</v>
      </c>
      <c r="I59" s="79">
        <v>45586</v>
      </c>
      <c r="J59" s="78" t="s">
        <v>1282</v>
      </c>
      <c r="K59" s="57" t="s">
        <v>1283</v>
      </c>
      <c r="L59" s="78"/>
      <c r="M59" s="78">
        <v>6383099012</v>
      </c>
      <c r="N59" s="78">
        <v>9442050818</v>
      </c>
      <c r="O59" s="78">
        <v>9751301255</v>
      </c>
      <c r="P59" s="78"/>
      <c r="Q59" s="80" t="s">
        <v>1284</v>
      </c>
      <c r="R59" s="81">
        <v>893118192072</v>
      </c>
      <c r="S59" s="78" t="s">
        <v>1285</v>
      </c>
    </row>
    <row r="60" spans="1:19" ht="18.75" x14ac:dyDescent="0.25">
      <c r="A60" s="57">
        <v>58</v>
      </c>
      <c r="B60" s="57" t="s">
        <v>1286</v>
      </c>
      <c r="C60" s="78" t="s">
        <v>1287</v>
      </c>
      <c r="D60" s="57" t="s">
        <v>1000</v>
      </c>
      <c r="E60" s="79">
        <v>37952</v>
      </c>
      <c r="F60" s="57">
        <v>382</v>
      </c>
      <c r="G60" s="57" t="s">
        <v>417</v>
      </c>
      <c r="H60" s="57" t="s">
        <v>210</v>
      </c>
      <c r="I60" s="79">
        <v>45535</v>
      </c>
      <c r="J60" s="78" t="s">
        <v>1288</v>
      </c>
      <c r="K60" s="57" t="s">
        <v>1289</v>
      </c>
      <c r="L60" s="78"/>
      <c r="M60" s="78">
        <v>7305901423</v>
      </c>
      <c r="N60" s="78">
        <v>6380406307</v>
      </c>
      <c r="O60" s="78">
        <v>6380088736</v>
      </c>
      <c r="P60" s="78"/>
      <c r="Q60" s="80"/>
      <c r="R60" s="81">
        <v>325429179269</v>
      </c>
      <c r="S60" s="78" t="s">
        <v>1290</v>
      </c>
    </row>
    <row r="61" spans="1:19" ht="18.75" x14ac:dyDescent="0.25">
      <c r="A61" s="57">
        <v>59</v>
      </c>
      <c r="B61" s="57" t="s">
        <v>1291</v>
      </c>
      <c r="C61" s="78" t="s">
        <v>1292</v>
      </c>
      <c r="D61" s="57" t="s">
        <v>397</v>
      </c>
      <c r="E61" s="79">
        <v>38608</v>
      </c>
      <c r="F61" s="57">
        <v>513</v>
      </c>
      <c r="G61" s="57" t="s">
        <v>392</v>
      </c>
      <c r="H61" s="57" t="s">
        <v>44</v>
      </c>
      <c r="I61" s="79">
        <v>45537</v>
      </c>
      <c r="J61" s="78" t="s">
        <v>1293</v>
      </c>
      <c r="K61" s="57" t="s">
        <v>1294</v>
      </c>
      <c r="L61" s="78"/>
      <c r="M61" s="78">
        <v>7200730536</v>
      </c>
      <c r="N61" s="78">
        <v>9786670536</v>
      </c>
      <c r="O61" s="78">
        <v>8870170536</v>
      </c>
      <c r="P61" s="78"/>
      <c r="Q61" s="80" t="s">
        <v>1295</v>
      </c>
      <c r="R61" s="81">
        <v>521572312357</v>
      </c>
      <c r="S61" s="78" t="s">
        <v>1296</v>
      </c>
    </row>
    <row r="62" spans="1:19" ht="18.75" x14ac:dyDescent="0.25">
      <c r="A62" s="57">
        <v>60</v>
      </c>
      <c r="B62" s="57" t="s">
        <v>1297</v>
      </c>
      <c r="C62" s="78" t="s">
        <v>1298</v>
      </c>
      <c r="D62" s="57" t="s">
        <v>397</v>
      </c>
      <c r="E62" s="79">
        <v>38229</v>
      </c>
      <c r="F62" s="57">
        <v>604</v>
      </c>
      <c r="G62" s="57" t="s">
        <v>392</v>
      </c>
      <c r="H62" s="57" t="s">
        <v>210</v>
      </c>
      <c r="I62" s="79">
        <v>45535</v>
      </c>
      <c r="J62" s="78" t="s">
        <v>1299</v>
      </c>
      <c r="K62" s="57" t="s">
        <v>1300</v>
      </c>
      <c r="L62" s="78"/>
      <c r="M62" s="78">
        <v>8807866290</v>
      </c>
      <c r="N62" s="78">
        <v>9629010819</v>
      </c>
      <c r="O62" s="78">
        <v>9487576496</v>
      </c>
      <c r="P62" s="78"/>
      <c r="Q62" s="80" t="s">
        <v>1301</v>
      </c>
      <c r="R62" s="81">
        <v>913860848972</v>
      </c>
      <c r="S62" s="78" t="s">
        <v>1302</v>
      </c>
    </row>
    <row r="63" spans="1:19" ht="18.75" x14ac:dyDescent="0.25">
      <c r="A63" s="57">
        <v>61</v>
      </c>
      <c r="B63" s="57" t="s">
        <v>1303</v>
      </c>
      <c r="C63" s="78" t="s">
        <v>1304</v>
      </c>
      <c r="D63" s="57" t="s">
        <v>391</v>
      </c>
      <c r="E63" s="79">
        <v>37980</v>
      </c>
      <c r="F63" s="57">
        <v>600</v>
      </c>
      <c r="G63" s="57" t="s">
        <v>392</v>
      </c>
      <c r="H63" s="57" t="s">
        <v>210</v>
      </c>
      <c r="I63" s="79">
        <v>45568</v>
      </c>
      <c r="J63" s="78" t="s">
        <v>1305</v>
      </c>
      <c r="K63" s="57" t="s">
        <v>1306</v>
      </c>
      <c r="L63" s="78"/>
      <c r="M63" s="78">
        <v>9363325832</v>
      </c>
      <c r="N63" s="78">
        <v>9788770165</v>
      </c>
      <c r="O63" s="78">
        <v>8675967885</v>
      </c>
      <c r="P63" s="78"/>
      <c r="Q63" s="80" t="s">
        <v>1307</v>
      </c>
      <c r="R63" s="81">
        <v>695874346957</v>
      </c>
      <c r="S63" s="78" t="s">
        <v>1308</v>
      </c>
    </row>
    <row r="64" spans="1:19" ht="18.75" x14ac:dyDescent="0.25">
      <c r="A64" s="57">
        <v>62</v>
      </c>
      <c r="B64" s="57" t="s">
        <v>1309</v>
      </c>
      <c r="C64" s="78" t="s">
        <v>1310</v>
      </c>
      <c r="D64" s="57" t="s">
        <v>397</v>
      </c>
      <c r="E64" s="79">
        <v>38365</v>
      </c>
      <c r="F64" s="57">
        <v>412</v>
      </c>
      <c r="G64" s="57" t="s">
        <v>417</v>
      </c>
      <c r="H64" s="57" t="s">
        <v>210</v>
      </c>
      <c r="I64" s="79">
        <v>45539</v>
      </c>
      <c r="J64" s="78" t="s">
        <v>1311</v>
      </c>
      <c r="K64" s="57" t="s">
        <v>1312</v>
      </c>
      <c r="L64" s="78"/>
      <c r="M64" s="78">
        <v>9597911946</v>
      </c>
      <c r="N64" s="78">
        <v>9597271946</v>
      </c>
      <c r="O64" s="78">
        <v>9489211946</v>
      </c>
      <c r="P64" s="78"/>
      <c r="Q64" s="80" t="s">
        <v>1313</v>
      </c>
      <c r="R64" s="81">
        <v>823805737194</v>
      </c>
      <c r="S64" s="78" t="s">
        <v>1314</v>
      </c>
    </row>
    <row r="65" spans="1:19" ht="18.75" x14ac:dyDescent="0.25">
      <c r="A65" s="57">
        <v>63</v>
      </c>
      <c r="B65" s="57" t="s">
        <v>1315</v>
      </c>
      <c r="C65" s="78" t="s">
        <v>1316</v>
      </c>
      <c r="D65" s="57" t="s">
        <v>397</v>
      </c>
      <c r="E65" s="79">
        <v>38583</v>
      </c>
      <c r="F65" s="57">
        <v>591</v>
      </c>
      <c r="G65" s="57" t="s">
        <v>392</v>
      </c>
      <c r="H65" s="57" t="s">
        <v>371</v>
      </c>
      <c r="I65" s="79">
        <v>45539</v>
      </c>
      <c r="J65" s="78" t="s">
        <v>1317</v>
      </c>
      <c r="K65" s="57" t="s">
        <v>1318</v>
      </c>
      <c r="L65" s="78"/>
      <c r="M65" s="78">
        <v>7397562252</v>
      </c>
      <c r="N65" s="78" t="s">
        <v>1319</v>
      </c>
      <c r="O65" s="78">
        <v>790325252</v>
      </c>
      <c r="P65" s="78"/>
      <c r="Q65" s="80"/>
      <c r="R65" s="81">
        <v>283051586134</v>
      </c>
      <c r="S65" s="78" t="s">
        <v>1320</v>
      </c>
    </row>
    <row r="66" spans="1:19" ht="18.75" x14ac:dyDescent="0.25">
      <c r="A66" s="57">
        <v>64</v>
      </c>
      <c r="B66" s="57" t="s">
        <v>1321</v>
      </c>
      <c r="C66" s="78" t="s">
        <v>1322</v>
      </c>
      <c r="D66" s="57" t="s">
        <v>397</v>
      </c>
      <c r="E66" s="79">
        <v>39069</v>
      </c>
      <c r="F66" s="57">
        <v>602</v>
      </c>
      <c r="G66" s="57" t="s">
        <v>392</v>
      </c>
      <c r="H66" s="57" t="s">
        <v>210</v>
      </c>
      <c r="I66" s="79">
        <v>45536</v>
      </c>
      <c r="J66" s="78" t="s">
        <v>1323</v>
      </c>
      <c r="K66" s="57" t="s">
        <v>620</v>
      </c>
      <c r="L66" s="78"/>
      <c r="M66" s="78">
        <v>9080607569</v>
      </c>
      <c r="N66" s="78">
        <v>9486561279</v>
      </c>
      <c r="O66" s="78">
        <v>6382204445</v>
      </c>
      <c r="P66" s="78"/>
      <c r="Q66" s="80">
        <v>2021337268</v>
      </c>
      <c r="R66" s="81">
        <v>703795814593</v>
      </c>
      <c r="S66" s="78" t="s">
        <v>1324</v>
      </c>
    </row>
    <row r="67" spans="1:19" ht="18.75" x14ac:dyDescent="0.25">
      <c r="A67" s="57">
        <v>65</v>
      </c>
      <c r="B67" s="57" t="s">
        <v>1325</v>
      </c>
      <c r="C67" s="78" t="s">
        <v>1326</v>
      </c>
      <c r="D67" s="57" t="s">
        <v>1000</v>
      </c>
      <c r="E67" s="79">
        <v>38283</v>
      </c>
      <c r="F67" s="57">
        <v>602</v>
      </c>
      <c r="G67" s="57" t="s">
        <v>392</v>
      </c>
      <c r="H67" s="57" t="s">
        <v>210</v>
      </c>
      <c r="I67" s="79">
        <v>45539</v>
      </c>
      <c r="J67" s="78" t="s">
        <v>1327</v>
      </c>
      <c r="K67" s="57" t="s">
        <v>1328</v>
      </c>
      <c r="L67" s="78"/>
      <c r="M67" s="78">
        <v>6382396108</v>
      </c>
      <c r="N67" s="78">
        <v>9488340770</v>
      </c>
      <c r="O67" s="78">
        <v>7339634809</v>
      </c>
      <c r="P67" s="78"/>
      <c r="Q67" s="80" t="s">
        <v>1329</v>
      </c>
      <c r="R67" s="81">
        <v>627856551412</v>
      </c>
      <c r="S67" s="78" t="s">
        <v>1330</v>
      </c>
    </row>
    <row r="68" spans="1:19" ht="18.75" x14ac:dyDescent="0.25">
      <c r="A68" s="57">
        <v>66</v>
      </c>
      <c r="B68" s="57" t="s">
        <v>1331</v>
      </c>
      <c r="C68" s="78" t="s">
        <v>1332</v>
      </c>
      <c r="D68" s="57" t="s">
        <v>391</v>
      </c>
      <c r="E68" s="79">
        <v>38897</v>
      </c>
      <c r="F68" s="57">
        <v>330</v>
      </c>
      <c r="G68" s="57" t="s">
        <v>417</v>
      </c>
      <c r="H68" s="57" t="s">
        <v>222</v>
      </c>
      <c r="I68" s="79">
        <v>45537</v>
      </c>
      <c r="J68" s="78" t="s">
        <v>1333</v>
      </c>
      <c r="K68" s="57" t="s">
        <v>1334</v>
      </c>
      <c r="L68" s="78"/>
      <c r="M68" s="78">
        <v>9381077317</v>
      </c>
      <c r="N68" s="78">
        <v>8309637651</v>
      </c>
      <c r="O68" s="78"/>
      <c r="P68" s="78"/>
      <c r="Q68" s="80" t="s">
        <v>1335</v>
      </c>
      <c r="R68" s="81">
        <v>422233460399</v>
      </c>
      <c r="S68" s="78" t="s">
        <v>1336</v>
      </c>
    </row>
    <row r="69" spans="1:19" ht="18.75" x14ac:dyDescent="0.25">
      <c r="A69" s="57">
        <v>67</v>
      </c>
      <c r="B69" s="57" t="s">
        <v>1337</v>
      </c>
      <c r="C69" s="78" t="s">
        <v>1338</v>
      </c>
      <c r="D69" s="57" t="s">
        <v>397</v>
      </c>
      <c r="E69" s="79">
        <v>38729</v>
      </c>
      <c r="F69" s="57">
        <v>375</v>
      </c>
      <c r="G69" s="57" t="s">
        <v>417</v>
      </c>
      <c r="H69" s="57" t="s">
        <v>210</v>
      </c>
      <c r="I69" s="79">
        <v>45539</v>
      </c>
      <c r="J69" s="78" t="s">
        <v>1339</v>
      </c>
      <c r="K69" s="57" t="s">
        <v>1340</v>
      </c>
      <c r="L69" s="78"/>
      <c r="M69" s="78">
        <v>8778640808</v>
      </c>
      <c r="N69" s="78">
        <v>9444417322</v>
      </c>
      <c r="O69" s="78">
        <v>8778664941</v>
      </c>
      <c r="P69" s="78"/>
      <c r="Q69" s="80" t="s">
        <v>1341</v>
      </c>
      <c r="R69" s="81">
        <v>790092206428</v>
      </c>
      <c r="S69" s="78" t="s">
        <v>1342</v>
      </c>
    </row>
    <row r="70" spans="1:19" ht="18.75" x14ac:dyDescent="0.25">
      <c r="A70" s="57">
        <v>68</v>
      </c>
      <c r="B70" s="57" t="s">
        <v>1343</v>
      </c>
      <c r="C70" s="78" t="s">
        <v>1344</v>
      </c>
      <c r="D70" s="57" t="s">
        <v>391</v>
      </c>
      <c r="E70" s="79">
        <v>38616</v>
      </c>
      <c r="F70" s="57">
        <v>337</v>
      </c>
      <c r="G70" s="57" t="s">
        <v>417</v>
      </c>
      <c r="H70" s="57" t="s">
        <v>210</v>
      </c>
      <c r="I70" s="79">
        <v>45569</v>
      </c>
      <c r="J70" s="78" t="s">
        <v>1345</v>
      </c>
      <c r="K70" s="57" t="s">
        <v>1346</v>
      </c>
      <c r="L70" s="78"/>
      <c r="M70" s="78">
        <v>7550022151</v>
      </c>
      <c r="N70" s="78">
        <v>9789802789</v>
      </c>
      <c r="O70" s="78">
        <v>8056064739</v>
      </c>
      <c r="P70" s="78"/>
      <c r="Q70" s="80"/>
      <c r="R70" s="81">
        <v>707348505923</v>
      </c>
      <c r="S70" s="78" t="s">
        <v>1347</v>
      </c>
    </row>
    <row r="71" spans="1:19" ht="18.75" x14ac:dyDescent="0.25">
      <c r="A71" s="57">
        <v>69</v>
      </c>
      <c r="B71" s="57" t="s">
        <v>1348</v>
      </c>
      <c r="C71" s="78" t="s">
        <v>1349</v>
      </c>
      <c r="D71" s="57" t="s">
        <v>391</v>
      </c>
      <c r="E71" s="79">
        <v>37903</v>
      </c>
      <c r="F71" s="57">
        <v>290</v>
      </c>
      <c r="G71" s="57" t="s">
        <v>983</v>
      </c>
      <c r="H71" s="57" t="s">
        <v>371</v>
      </c>
      <c r="I71" s="79">
        <v>45587</v>
      </c>
      <c r="J71" s="78" t="s">
        <v>1350</v>
      </c>
      <c r="K71" s="57" t="s">
        <v>1351</v>
      </c>
      <c r="L71" s="78"/>
      <c r="M71" s="78">
        <v>9344307368</v>
      </c>
      <c r="N71" s="78">
        <v>9443133743</v>
      </c>
      <c r="O71" s="78">
        <v>6379181846</v>
      </c>
      <c r="P71" s="78"/>
      <c r="Q71" s="80"/>
      <c r="R71" s="81">
        <v>512321293234</v>
      </c>
      <c r="S71" s="78"/>
    </row>
    <row r="72" spans="1:19" ht="18.75" x14ac:dyDescent="0.25">
      <c r="A72" s="57">
        <v>70</v>
      </c>
      <c r="B72" s="57" t="s">
        <v>1352</v>
      </c>
      <c r="C72" s="78" t="s">
        <v>1353</v>
      </c>
      <c r="D72" s="57" t="s">
        <v>391</v>
      </c>
      <c r="E72" s="79">
        <v>38407</v>
      </c>
      <c r="F72" s="57">
        <v>396</v>
      </c>
      <c r="G72" s="57" t="s">
        <v>983</v>
      </c>
      <c r="H72" s="57" t="s">
        <v>44</v>
      </c>
      <c r="I72" s="79">
        <v>45568</v>
      </c>
      <c r="J72" s="78" t="s">
        <v>1354</v>
      </c>
      <c r="K72" s="57" t="s">
        <v>1355</v>
      </c>
      <c r="L72" s="78"/>
      <c r="M72" s="78">
        <v>9080459500</v>
      </c>
      <c r="N72" s="78">
        <v>9842162571</v>
      </c>
      <c r="O72" s="78">
        <v>7598162571</v>
      </c>
      <c r="P72" s="78"/>
      <c r="Q72" s="80" t="s">
        <v>1356</v>
      </c>
      <c r="R72" s="81">
        <v>844397615433</v>
      </c>
      <c r="S72" s="78" t="s">
        <v>1357</v>
      </c>
    </row>
    <row r="73" spans="1:19" ht="18.75" x14ac:dyDescent="0.25">
      <c r="A73" s="57">
        <v>71</v>
      </c>
      <c r="B73" s="57" t="s">
        <v>1358</v>
      </c>
      <c r="C73" s="78" t="s">
        <v>1359</v>
      </c>
      <c r="D73" s="57" t="s">
        <v>391</v>
      </c>
      <c r="E73" s="79">
        <v>38617</v>
      </c>
      <c r="F73" s="57">
        <v>346</v>
      </c>
      <c r="G73" s="57" t="s">
        <v>417</v>
      </c>
      <c r="H73" s="57" t="s">
        <v>371</v>
      </c>
      <c r="I73" s="79">
        <v>45539</v>
      </c>
      <c r="J73" s="78" t="s">
        <v>1360</v>
      </c>
      <c r="K73" s="57" t="s">
        <v>410</v>
      </c>
      <c r="L73" s="78"/>
      <c r="M73" s="78">
        <v>6369760598</v>
      </c>
      <c r="N73" s="78">
        <v>8825512818</v>
      </c>
      <c r="O73" s="78">
        <v>9080264228</v>
      </c>
      <c r="P73" s="78"/>
      <c r="Q73" s="80">
        <v>2019622716</v>
      </c>
      <c r="R73" s="81">
        <v>701948592861</v>
      </c>
      <c r="S73" s="78" t="s">
        <v>1361</v>
      </c>
    </row>
    <row r="74" spans="1:19" ht="18.75" x14ac:dyDescent="0.25">
      <c r="A74" s="57">
        <v>72</v>
      </c>
      <c r="B74" s="57" t="s">
        <v>1362</v>
      </c>
      <c r="C74" s="78" t="s">
        <v>1363</v>
      </c>
      <c r="D74" s="57" t="s">
        <v>397</v>
      </c>
      <c r="E74" s="79">
        <v>38562</v>
      </c>
      <c r="F74" s="57">
        <v>601</v>
      </c>
      <c r="G74" s="57" t="s">
        <v>392</v>
      </c>
      <c r="H74" s="57" t="s">
        <v>210</v>
      </c>
      <c r="I74" s="79">
        <v>45567</v>
      </c>
      <c r="J74" s="78" t="s">
        <v>1364</v>
      </c>
      <c r="K74" s="57" t="s">
        <v>1365</v>
      </c>
      <c r="L74" s="78"/>
      <c r="M74" s="78">
        <v>9080950420</v>
      </c>
      <c r="N74" s="78">
        <v>9486053622</v>
      </c>
      <c r="O74" s="78">
        <v>9361995628</v>
      </c>
      <c r="P74" s="78"/>
      <c r="Q74" s="80" t="s">
        <v>1366</v>
      </c>
      <c r="R74" s="81">
        <v>392205660463</v>
      </c>
      <c r="S74" s="78" t="s">
        <v>1367</v>
      </c>
    </row>
    <row r="75" spans="1:19" ht="18.75" x14ac:dyDescent="0.25">
      <c r="A75" s="57">
        <v>73</v>
      </c>
      <c r="B75" s="57" t="s">
        <v>1368</v>
      </c>
      <c r="C75" s="78" t="s">
        <v>1369</v>
      </c>
      <c r="D75" s="57" t="s">
        <v>391</v>
      </c>
      <c r="E75" s="79">
        <v>38734</v>
      </c>
      <c r="F75" s="57">
        <v>464</v>
      </c>
      <c r="G75" s="57" t="s">
        <v>417</v>
      </c>
      <c r="H75" s="57" t="s">
        <v>210</v>
      </c>
      <c r="I75" s="79">
        <v>45539</v>
      </c>
      <c r="J75" s="78" t="s">
        <v>1370</v>
      </c>
      <c r="K75" s="57" t="s">
        <v>1371</v>
      </c>
      <c r="L75" s="78"/>
      <c r="M75" s="78">
        <v>9003169655</v>
      </c>
      <c r="N75" s="78">
        <v>9003745870</v>
      </c>
      <c r="O75" s="78">
        <v>9944211655</v>
      </c>
      <c r="P75" s="78"/>
      <c r="Q75" s="80">
        <v>2001632113</v>
      </c>
      <c r="R75" s="81">
        <v>819321517961</v>
      </c>
      <c r="S75" s="78" t="s">
        <v>1372</v>
      </c>
    </row>
    <row r="76" spans="1:19" ht="18.75" x14ac:dyDescent="0.25">
      <c r="A76" s="57">
        <v>74</v>
      </c>
      <c r="B76" s="57" t="s">
        <v>1373</v>
      </c>
      <c r="C76" s="78" t="s">
        <v>1374</v>
      </c>
      <c r="D76" s="57" t="s">
        <v>391</v>
      </c>
      <c r="E76" s="79">
        <v>38217</v>
      </c>
      <c r="F76" s="57">
        <v>601</v>
      </c>
      <c r="G76" s="57" t="s">
        <v>392</v>
      </c>
      <c r="H76" s="57" t="s">
        <v>210</v>
      </c>
      <c r="I76" s="79">
        <v>45539</v>
      </c>
      <c r="J76" s="78" t="s">
        <v>1375</v>
      </c>
      <c r="K76" s="57" t="s">
        <v>1376</v>
      </c>
      <c r="L76" s="78"/>
      <c r="M76" s="78">
        <v>8072016630</v>
      </c>
      <c r="N76" s="78">
        <v>9965570065</v>
      </c>
      <c r="O76" s="78">
        <v>9942770062</v>
      </c>
      <c r="P76" s="78"/>
      <c r="Q76" s="80" t="s">
        <v>1377</v>
      </c>
      <c r="R76" s="81">
        <v>629706257320</v>
      </c>
      <c r="S76" s="78" t="s">
        <v>1378</v>
      </c>
    </row>
    <row r="77" spans="1:19" ht="18.75" x14ac:dyDescent="0.25">
      <c r="A77" s="57">
        <v>75</v>
      </c>
      <c r="B77" s="57" t="s">
        <v>1379</v>
      </c>
      <c r="C77" s="78" t="s">
        <v>1380</v>
      </c>
      <c r="D77" s="57" t="s">
        <v>397</v>
      </c>
      <c r="E77" s="79">
        <v>38326</v>
      </c>
      <c r="F77" s="57">
        <v>600</v>
      </c>
      <c r="G77" s="57" t="s">
        <v>392</v>
      </c>
      <c r="H77" s="57" t="s">
        <v>210</v>
      </c>
      <c r="I77" s="79">
        <v>45568</v>
      </c>
      <c r="J77" s="78" t="s">
        <v>1381</v>
      </c>
      <c r="K77" s="57" t="s">
        <v>1382</v>
      </c>
      <c r="L77" s="78"/>
      <c r="M77" s="78">
        <v>9514412409</v>
      </c>
      <c r="N77" s="78">
        <v>9865919709</v>
      </c>
      <c r="O77" s="78">
        <v>9486762409</v>
      </c>
      <c r="P77" s="78"/>
      <c r="Q77" s="80" t="s">
        <v>1383</v>
      </c>
      <c r="R77" s="81">
        <v>453299076398</v>
      </c>
      <c r="S77" s="78" t="s">
        <v>1384</v>
      </c>
    </row>
    <row r="78" spans="1:19" ht="18.75" x14ac:dyDescent="0.25">
      <c r="A78" s="57">
        <v>76</v>
      </c>
      <c r="B78" s="57" t="s">
        <v>1385</v>
      </c>
      <c r="C78" s="78" t="s">
        <v>1386</v>
      </c>
      <c r="D78" s="57" t="s">
        <v>397</v>
      </c>
      <c r="E78" s="79">
        <v>38788</v>
      </c>
      <c r="F78" s="57">
        <v>601</v>
      </c>
      <c r="G78" s="57" t="s">
        <v>392</v>
      </c>
      <c r="H78" s="57" t="s">
        <v>217</v>
      </c>
      <c r="I78" s="79">
        <v>45539</v>
      </c>
      <c r="J78" s="78" t="s">
        <v>1387</v>
      </c>
      <c r="K78" s="57" t="s">
        <v>1388</v>
      </c>
      <c r="L78" s="78"/>
      <c r="M78" s="78">
        <v>9361890350</v>
      </c>
      <c r="N78" s="78">
        <v>9751067625</v>
      </c>
      <c r="O78" s="78">
        <v>9751754175</v>
      </c>
      <c r="P78" s="78"/>
      <c r="Q78" s="80" t="s">
        <v>1389</v>
      </c>
      <c r="R78" s="81">
        <v>992407774693</v>
      </c>
      <c r="S78" s="78" t="s">
        <v>1390</v>
      </c>
    </row>
    <row r="79" spans="1:19" ht="18.75" x14ac:dyDescent="0.25">
      <c r="A79" s="57">
        <v>77</v>
      </c>
      <c r="B79" s="57" t="s">
        <v>1391</v>
      </c>
      <c r="C79" s="78" t="s">
        <v>1392</v>
      </c>
      <c r="D79" s="57" t="s">
        <v>397</v>
      </c>
      <c r="E79" s="79">
        <v>38434</v>
      </c>
      <c r="F79" s="57">
        <v>476</v>
      </c>
      <c r="G79" s="57" t="s">
        <v>417</v>
      </c>
      <c r="H79" s="57" t="s">
        <v>210</v>
      </c>
      <c r="I79" s="79">
        <v>45537</v>
      </c>
      <c r="J79" s="78" t="s">
        <v>1393</v>
      </c>
      <c r="K79" s="57" t="s">
        <v>1394</v>
      </c>
      <c r="L79" s="78"/>
      <c r="M79" s="78">
        <v>6380091290</v>
      </c>
      <c r="N79" s="78">
        <v>9443333460</v>
      </c>
      <c r="O79" s="78">
        <v>8122936521</v>
      </c>
      <c r="P79" s="78"/>
      <c r="Q79" s="80">
        <v>2025508240</v>
      </c>
      <c r="R79" s="81">
        <v>714583808831</v>
      </c>
      <c r="S79" s="78" t="s">
        <v>1395</v>
      </c>
    </row>
    <row r="80" spans="1:19" ht="18.75" x14ac:dyDescent="0.25">
      <c r="A80" s="57">
        <v>78</v>
      </c>
      <c r="B80" s="57" t="s">
        <v>1396</v>
      </c>
      <c r="C80" s="78" t="s">
        <v>1397</v>
      </c>
      <c r="D80" s="57" t="s">
        <v>391</v>
      </c>
      <c r="E80" s="79">
        <v>38651</v>
      </c>
      <c r="F80" s="57">
        <v>601</v>
      </c>
      <c r="G80" s="57" t="s">
        <v>392</v>
      </c>
      <c r="H80" s="57" t="s">
        <v>210</v>
      </c>
      <c r="I80" s="79">
        <v>45569</v>
      </c>
      <c r="J80" s="78" t="s">
        <v>1398</v>
      </c>
      <c r="K80" s="57" t="s">
        <v>1399</v>
      </c>
      <c r="L80" s="78"/>
      <c r="M80" s="78">
        <v>7418104767</v>
      </c>
      <c r="N80" s="78">
        <v>9941583748</v>
      </c>
      <c r="O80" s="78">
        <v>9080950142</v>
      </c>
      <c r="P80" s="78"/>
      <c r="Q80" s="80" t="s">
        <v>1400</v>
      </c>
      <c r="R80" s="81">
        <v>810629818330</v>
      </c>
      <c r="S80" s="78" t="s">
        <v>1401</v>
      </c>
    </row>
    <row r="81" spans="1:19" ht="18.75" x14ac:dyDescent="0.25">
      <c r="A81" s="57">
        <v>79</v>
      </c>
      <c r="B81" s="57" t="s">
        <v>1402</v>
      </c>
      <c r="C81" s="78" t="s">
        <v>1403</v>
      </c>
      <c r="D81" s="57" t="s">
        <v>391</v>
      </c>
      <c r="E81" s="79">
        <v>38437</v>
      </c>
      <c r="F81" s="57">
        <v>383</v>
      </c>
      <c r="G81" s="57" t="s">
        <v>417</v>
      </c>
      <c r="H81" s="57" t="s">
        <v>210</v>
      </c>
      <c r="I81" s="79">
        <v>45540</v>
      </c>
      <c r="J81" s="78" t="s">
        <v>1404</v>
      </c>
      <c r="K81" s="57" t="s">
        <v>1405</v>
      </c>
      <c r="L81" s="78"/>
      <c r="M81" s="78">
        <v>7010142795</v>
      </c>
      <c r="N81" s="78">
        <v>9047720564</v>
      </c>
      <c r="O81" s="78">
        <v>7094094293</v>
      </c>
      <c r="P81" s="78"/>
      <c r="Q81" s="80"/>
      <c r="R81" s="81">
        <v>301490354115</v>
      </c>
      <c r="S81" s="78" t="s">
        <v>1406</v>
      </c>
    </row>
    <row r="82" spans="1:19" ht="18.75" x14ac:dyDescent="0.25">
      <c r="A82" s="57">
        <v>80</v>
      </c>
      <c r="B82" s="57" t="s">
        <v>1407</v>
      </c>
      <c r="C82" s="78" t="s">
        <v>1408</v>
      </c>
      <c r="D82" s="57" t="s">
        <v>397</v>
      </c>
      <c r="E82" s="79">
        <v>38796</v>
      </c>
      <c r="F82" s="57">
        <v>513</v>
      </c>
      <c r="G82" s="57" t="s">
        <v>392</v>
      </c>
      <c r="H82" s="57" t="s">
        <v>44</v>
      </c>
      <c r="I82" s="79">
        <v>45537</v>
      </c>
      <c r="J82" s="78" t="s">
        <v>1409</v>
      </c>
      <c r="K82" s="57" t="s">
        <v>1410</v>
      </c>
      <c r="L82" s="78"/>
      <c r="M82" s="78">
        <v>7010292102</v>
      </c>
      <c r="N82" s="78">
        <v>9994373717</v>
      </c>
      <c r="O82" s="78">
        <v>8190813041</v>
      </c>
      <c r="P82" s="78"/>
      <c r="Q82" s="80" t="s">
        <v>1411</v>
      </c>
      <c r="R82" s="81">
        <v>677539341967</v>
      </c>
      <c r="S82" s="78" t="s">
        <v>1412</v>
      </c>
    </row>
    <row r="83" spans="1:19" ht="18.75" x14ac:dyDescent="0.25">
      <c r="A83" s="57">
        <v>81</v>
      </c>
      <c r="B83" s="57" t="s">
        <v>1413</v>
      </c>
      <c r="C83" s="78" t="s">
        <v>1414</v>
      </c>
      <c r="D83" s="57" t="s">
        <v>397</v>
      </c>
      <c r="E83" s="79">
        <v>38410</v>
      </c>
      <c r="F83" s="57">
        <v>588</v>
      </c>
      <c r="G83" s="57" t="s">
        <v>392</v>
      </c>
      <c r="H83" s="57" t="s">
        <v>371</v>
      </c>
      <c r="I83" s="79">
        <v>45539</v>
      </c>
      <c r="J83" s="78" t="s">
        <v>1415</v>
      </c>
      <c r="K83" s="57" t="s">
        <v>1416</v>
      </c>
      <c r="L83" s="78"/>
      <c r="M83" s="78">
        <v>9965722363</v>
      </c>
      <c r="N83" s="78">
        <v>9500117641</v>
      </c>
      <c r="O83" s="78">
        <v>9962749963</v>
      </c>
      <c r="P83" s="78"/>
      <c r="Q83" s="80"/>
      <c r="R83" s="81">
        <v>253042249274</v>
      </c>
      <c r="S83" s="78" t="s">
        <v>1417</v>
      </c>
    </row>
    <row r="84" spans="1:19" ht="18.75" x14ac:dyDescent="0.25">
      <c r="A84" s="57">
        <v>82</v>
      </c>
      <c r="B84" s="57" t="s">
        <v>1418</v>
      </c>
      <c r="C84" s="78" t="s">
        <v>1419</v>
      </c>
      <c r="D84" s="57" t="s">
        <v>391</v>
      </c>
      <c r="E84" s="79">
        <v>37921</v>
      </c>
      <c r="F84" s="57">
        <v>397</v>
      </c>
      <c r="G84" s="57" t="s">
        <v>417</v>
      </c>
      <c r="H84" s="57" t="s">
        <v>210</v>
      </c>
      <c r="I84" s="79">
        <v>45540</v>
      </c>
      <c r="J84" s="78" t="s">
        <v>1420</v>
      </c>
      <c r="K84" s="57" t="s">
        <v>1421</v>
      </c>
      <c r="L84" s="78"/>
      <c r="M84" s="78">
        <v>6374277307</v>
      </c>
      <c r="N84" s="78">
        <v>9488965842</v>
      </c>
      <c r="O84" s="78">
        <v>9442265543</v>
      </c>
      <c r="P84" s="78"/>
      <c r="Q84" s="80" t="s">
        <v>1422</v>
      </c>
      <c r="R84" s="81">
        <v>591714089003</v>
      </c>
      <c r="S84" s="78" t="s">
        <v>1423</v>
      </c>
    </row>
    <row r="85" spans="1:19" ht="18.75" x14ac:dyDescent="0.25">
      <c r="A85" s="57">
        <v>83</v>
      </c>
      <c r="B85" s="57" t="s">
        <v>1424</v>
      </c>
      <c r="C85" s="78" t="s">
        <v>1425</v>
      </c>
      <c r="D85" s="57" t="s">
        <v>1000</v>
      </c>
      <c r="E85" s="79">
        <v>38244</v>
      </c>
      <c r="F85" s="57">
        <v>605</v>
      </c>
      <c r="G85" s="57" t="s">
        <v>392</v>
      </c>
      <c r="H85" s="57" t="s">
        <v>210</v>
      </c>
      <c r="I85" s="79">
        <v>45537</v>
      </c>
      <c r="J85" s="78" t="s">
        <v>1426</v>
      </c>
      <c r="K85" s="57" t="s">
        <v>1427</v>
      </c>
      <c r="L85" s="78"/>
      <c r="M85" s="78">
        <v>9489547034</v>
      </c>
      <c r="N85" s="78">
        <v>9840253990</v>
      </c>
      <c r="O85" s="78">
        <v>8056923926</v>
      </c>
      <c r="P85" s="78"/>
      <c r="Q85" s="80" t="s">
        <v>1428</v>
      </c>
      <c r="R85" s="81">
        <v>369162783888</v>
      </c>
      <c r="S85" s="78" t="s">
        <v>1429</v>
      </c>
    </row>
    <row r="86" spans="1:19" ht="18.75" x14ac:dyDescent="0.25">
      <c r="A86" s="57">
        <v>84</v>
      </c>
      <c r="B86" s="57" t="s">
        <v>1430</v>
      </c>
      <c r="C86" s="78" t="s">
        <v>1431</v>
      </c>
      <c r="D86" s="57" t="s">
        <v>391</v>
      </c>
      <c r="E86" s="79">
        <v>38742</v>
      </c>
      <c r="F86" s="57">
        <v>485</v>
      </c>
      <c r="G86" s="57">
        <v>7.5</v>
      </c>
      <c r="H86" s="57" t="s">
        <v>210</v>
      </c>
      <c r="I86" s="79">
        <v>45534</v>
      </c>
      <c r="J86" s="78" t="s">
        <v>1432</v>
      </c>
      <c r="K86" s="57" t="s">
        <v>1433</v>
      </c>
      <c r="L86" s="78"/>
      <c r="M86" s="78">
        <v>8072332427</v>
      </c>
      <c r="N86" s="78">
        <v>9786555964</v>
      </c>
      <c r="O86" s="78">
        <v>8072464720</v>
      </c>
      <c r="P86" s="78"/>
      <c r="Q86" s="80">
        <v>1004653732</v>
      </c>
      <c r="R86" s="81">
        <v>248601835015</v>
      </c>
      <c r="S86" s="78" t="s">
        <v>1434</v>
      </c>
    </row>
    <row r="87" spans="1:19" ht="18.75" x14ac:dyDescent="0.25">
      <c r="A87" s="57">
        <v>85</v>
      </c>
      <c r="B87" s="57" t="s">
        <v>1435</v>
      </c>
      <c r="C87" s="78" t="s">
        <v>1436</v>
      </c>
      <c r="D87" s="57" t="s">
        <v>391</v>
      </c>
      <c r="E87" s="79">
        <v>38659</v>
      </c>
      <c r="F87" s="57">
        <v>316</v>
      </c>
      <c r="G87" s="57" t="s">
        <v>417</v>
      </c>
      <c r="H87" s="57" t="s">
        <v>222</v>
      </c>
      <c r="I87" s="79">
        <v>45569</v>
      </c>
      <c r="J87" s="78" t="s">
        <v>1437</v>
      </c>
      <c r="K87" s="57" t="s">
        <v>1438</v>
      </c>
      <c r="L87" s="78"/>
      <c r="M87" s="78">
        <v>9344221465</v>
      </c>
      <c r="N87" s="78">
        <v>9080212408</v>
      </c>
      <c r="O87" s="78">
        <v>9600213762</v>
      </c>
      <c r="P87" s="78"/>
      <c r="Q87" s="80" t="s">
        <v>1439</v>
      </c>
      <c r="R87" s="81">
        <v>424138708945</v>
      </c>
      <c r="S87" s="78" t="s">
        <v>1440</v>
      </c>
    </row>
    <row r="88" spans="1:19" ht="18.75" x14ac:dyDescent="0.25">
      <c r="A88" s="57">
        <v>86</v>
      </c>
      <c r="B88" s="57" t="s">
        <v>1441</v>
      </c>
      <c r="C88" s="78" t="s">
        <v>1442</v>
      </c>
      <c r="D88" s="57" t="s">
        <v>982</v>
      </c>
      <c r="E88" s="79">
        <v>38222</v>
      </c>
      <c r="F88" s="57">
        <v>503</v>
      </c>
      <c r="G88" s="57" t="s">
        <v>392</v>
      </c>
      <c r="H88" s="57" t="s">
        <v>44</v>
      </c>
      <c r="I88" s="79">
        <v>45586</v>
      </c>
      <c r="J88" s="78" t="s">
        <v>1443</v>
      </c>
      <c r="K88" s="57" t="s">
        <v>1444</v>
      </c>
      <c r="L88" s="78"/>
      <c r="M88" s="78">
        <v>9645121261</v>
      </c>
      <c r="N88" s="78">
        <v>9443576157</v>
      </c>
      <c r="O88" s="78">
        <v>9488592931</v>
      </c>
      <c r="P88" s="78"/>
      <c r="Q88" s="80"/>
      <c r="R88" s="81">
        <v>374884052413</v>
      </c>
      <c r="S88" s="78" t="s">
        <v>1445</v>
      </c>
    </row>
    <row r="89" spans="1:19" ht="18.75" x14ac:dyDescent="0.25">
      <c r="A89" s="57">
        <v>87</v>
      </c>
      <c r="B89" s="57" t="s">
        <v>1446</v>
      </c>
      <c r="C89" s="78" t="s">
        <v>1447</v>
      </c>
      <c r="D89" s="57" t="s">
        <v>982</v>
      </c>
      <c r="E89" s="79">
        <v>38939</v>
      </c>
      <c r="F89" s="57">
        <v>603</v>
      </c>
      <c r="G89" s="57" t="s">
        <v>392</v>
      </c>
      <c r="H89" s="57" t="s">
        <v>210</v>
      </c>
      <c r="I89" s="79">
        <v>45563</v>
      </c>
      <c r="J89" s="78" t="s">
        <v>1448</v>
      </c>
      <c r="K89" s="57" t="s">
        <v>1449</v>
      </c>
      <c r="L89" s="78"/>
      <c r="M89" s="78">
        <v>9789426131</v>
      </c>
      <c r="N89" s="78">
        <v>8197511109</v>
      </c>
      <c r="O89" s="78">
        <v>8197513869</v>
      </c>
      <c r="P89" s="78"/>
      <c r="Q89" s="80" t="s">
        <v>1450</v>
      </c>
      <c r="R89" s="81">
        <v>769826053475</v>
      </c>
      <c r="S89" s="78" t="s">
        <v>1451</v>
      </c>
    </row>
    <row r="90" spans="1:19" ht="18.75" x14ac:dyDescent="0.25">
      <c r="A90" s="57">
        <v>88</v>
      </c>
      <c r="B90" s="57" t="s">
        <v>1452</v>
      </c>
      <c r="C90" s="78" t="s">
        <v>1453</v>
      </c>
      <c r="D90" s="57" t="s">
        <v>391</v>
      </c>
      <c r="E90" s="79">
        <v>38168</v>
      </c>
      <c r="F90" s="57">
        <v>343</v>
      </c>
      <c r="G90" s="57" t="s">
        <v>983</v>
      </c>
      <c r="H90" s="57" t="s">
        <v>44</v>
      </c>
      <c r="I90" s="79">
        <v>45600</v>
      </c>
      <c r="J90" s="78" t="s">
        <v>1454</v>
      </c>
      <c r="K90" s="57" t="s">
        <v>1455</v>
      </c>
      <c r="L90" s="78"/>
      <c r="M90" s="78">
        <v>9176233089</v>
      </c>
      <c r="N90" s="78">
        <v>9940620233</v>
      </c>
      <c r="O90" s="78">
        <v>9080072462</v>
      </c>
      <c r="P90" s="78"/>
      <c r="Q90" s="80">
        <v>2018779121</v>
      </c>
      <c r="R90" s="81">
        <v>866801593364</v>
      </c>
      <c r="S90" s="78"/>
    </row>
    <row r="91" spans="1:19" ht="18.75" x14ac:dyDescent="0.25">
      <c r="A91" s="57">
        <v>89</v>
      </c>
      <c r="B91" s="57" t="s">
        <v>1456</v>
      </c>
      <c r="C91" s="78" t="s">
        <v>1457</v>
      </c>
      <c r="D91" s="57" t="s">
        <v>391</v>
      </c>
      <c r="E91" s="79">
        <v>38113</v>
      </c>
      <c r="F91" s="57">
        <v>317</v>
      </c>
      <c r="G91" s="57" t="s">
        <v>983</v>
      </c>
      <c r="H91" s="57" t="s">
        <v>210</v>
      </c>
      <c r="I91" s="79">
        <v>45587</v>
      </c>
      <c r="J91" s="78" t="s">
        <v>1458</v>
      </c>
      <c r="K91" s="57" t="s">
        <v>1459</v>
      </c>
      <c r="L91" s="78"/>
      <c r="M91" s="78">
        <v>8270372160</v>
      </c>
      <c r="N91" s="78">
        <v>9443064654</v>
      </c>
      <c r="O91" s="78">
        <v>9443464654</v>
      </c>
      <c r="P91" s="78"/>
      <c r="Q91" s="80" t="s">
        <v>1460</v>
      </c>
      <c r="R91" s="81"/>
      <c r="S91" s="78"/>
    </row>
    <row r="92" spans="1:19" ht="18.75" x14ac:dyDescent="0.25">
      <c r="A92" s="57">
        <v>90</v>
      </c>
      <c r="B92" s="57" t="s">
        <v>1461</v>
      </c>
      <c r="C92" s="78" t="s">
        <v>1462</v>
      </c>
      <c r="D92" s="57" t="s">
        <v>391</v>
      </c>
      <c r="E92" s="79">
        <v>38675</v>
      </c>
      <c r="F92" s="57">
        <v>315</v>
      </c>
      <c r="G92" s="57" t="s">
        <v>983</v>
      </c>
      <c r="H92" s="57" t="s">
        <v>44</v>
      </c>
      <c r="I92" s="79">
        <v>45600</v>
      </c>
      <c r="J92" s="78" t="s">
        <v>1463</v>
      </c>
      <c r="K92" s="57" t="s">
        <v>1464</v>
      </c>
      <c r="L92" s="78"/>
      <c r="M92" s="78">
        <v>9342766100</v>
      </c>
      <c r="N92" s="78">
        <v>9443402714</v>
      </c>
      <c r="O92" s="78">
        <v>9080447183</v>
      </c>
      <c r="P92" s="78"/>
      <c r="Q92" s="80">
        <v>2003398201</v>
      </c>
      <c r="R92" s="81">
        <v>774973392689</v>
      </c>
      <c r="S92" s="78"/>
    </row>
    <row r="93" spans="1:19" ht="18.75" x14ac:dyDescent="0.25">
      <c r="A93" s="57">
        <v>91</v>
      </c>
      <c r="B93" s="57" t="s">
        <v>1465</v>
      </c>
      <c r="C93" s="78" t="s">
        <v>1466</v>
      </c>
      <c r="D93" s="57" t="s">
        <v>391</v>
      </c>
      <c r="E93" s="79">
        <v>38327</v>
      </c>
      <c r="F93" s="57">
        <v>559</v>
      </c>
      <c r="G93" s="57" t="s">
        <v>417</v>
      </c>
      <c r="H93" s="57" t="s">
        <v>210</v>
      </c>
      <c r="I93" s="79">
        <v>45540</v>
      </c>
      <c r="J93" s="78" t="s">
        <v>1467</v>
      </c>
      <c r="K93" s="57" t="s">
        <v>1468</v>
      </c>
      <c r="L93" s="78"/>
      <c r="M93" s="78">
        <v>6382608048</v>
      </c>
      <c r="N93" s="78" t="s">
        <v>1469</v>
      </c>
      <c r="O93" s="78">
        <v>9489447235</v>
      </c>
      <c r="P93" s="78"/>
      <c r="Q93" s="80"/>
      <c r="R93" s="81">
        <v>861973829642</v>
      </c>
      <c r="S93" s="78" t="s">
        <v>1470</v>
      </c>
    </row>
    <row r="94" spans="1:19" ht="18.75" x14ac:dyDescent="0.25">
      <c r="A94" s="57">
        <v>92</v>
      </c>
      <c r="B94" s="57" t="s">
        <v>1471</v>
      </c>
      <c r="C94" s="78" t="s">
        <v>1472</v>
      </c>
      <c r="D94" s="57" t="s">
        <v>1000</v>
      </c>
      <c r="E94" s="79">
        <v>39147</v>
      </c>
      <c r="F94" s="57">
        <v>347</v>
      </c>
      <c r="G94" s="57" t="s">
        <v>417</v>
      </c>
      <c r="H94" s="57" t="s">
        <v>210</v>
      </c>
      <c r="I94" s="79">
        <v>45537</v>
      </c>
      <c r="J94" s="78" t="s">
        <v>1473</v>
      </c>
      <c r="K94" s="57" t="s">
        <v>1474</v>
      </c>
      <c r="L94" s="78"/>
      <c r="M94" s="78">
        <v>7845662663</v>
      </c>
      <c r="N94" s="78">
        <v>9443015060</v>
      </c>
      <c r="O94" s="78">
        <v>9790456545</v>
      </c>
      <c r="P94" s="78"/>
      <c r="Q94" s="80" t="s">
        <v>1475</v>
      </c>
      <c r="R94" s="81">
        <v>358840571200</v>
      </c>
      <c r="S94" s="78" t="s">
        <v>1476</v>
      </c>
    </row>
    <row r="95" spans="1:19" ht="18.75" x14ac:dyDescent="0.25">
      <c r="A95" s="57">
        <v>93</v>
      </c>
      <c r="B95" s="57" t="s">
        <v>1477</v>
      </c>
      <c r="C95" s="78" t="s">
        <v>1478</v>
      </c>
      <c r="D95" s="57" t="s">
        <v>397</v>
      </c>
      <c r="E95" s="79">
        <v>38436</v>
      </c>
      <c r="F95" s="57">
        <v>398</v>
      </c>
      <c r="G95" s="57" t="s">
        <v>983</v>
      </c>
      <c r="H95" s="57" t="s">
        <v>210</v>
      </c>
      <c r="I95" s="79">
        <v>45587</v>
      </c>
      <c r="J95" s="78" t="s">
        <v>1479</v>
      </c>
      <c r="K95" s="57" t="s">
        <v>1480</v>
      </c>
      <c r="L95" s="78"/>
      <c r="M95" s="78">
        <v>9787541040</v>
      </c>
      <c r="N95" s="78">
        <v>9790114925</v>
      </c>
      <c r="O95" s="78"/>
      <c r="P95" s="78"/>
      <c r="Q95" s="80">
        <v>2021383137</v>
      </c>
      <c r="R95" s="81">
        <v>768800802938</v>
      </c>
      <c r="S95" s="78"/>
    </row>
    <row r="96" spans="1:19" ht="18.75" x14ac:dyDescent="0.25">
      <c r="A96" s="57">
        <v>94</v>
      </c>
      <c r="B96" s="57" t="s">
        <v>1481</v>
      </c>
      <c r="C96" s="78" t="s">
        <v>1482</v>
      </c>
      <c r="D96" s="57" t="s">
        <v>397</v>
      </c>
      <c r="E96" s="79">
        <v>38244</v>
      </c>
      <c r="F96" s="57">
        <v>355</v>
      </c>
      <c r="G96" s="57" t="s">
        <v>983</v>
      </c>
      <c r="H96" s="57" t="s">
        <v>210</v>
      </c>
      <c r="I96" s="79">
        <v>45588</v>
      </c>
      <c r="J96" s="78" t="s">
        <v>1483</v>
      </c>
      <c r="K96" s="57" t="s">
        <v>1484</v>
      </c>
      <c r="L96" s="78"/>
      <c r="M96" s="78">
        <v>9442190535</v>
      </c>
      <c r="N96" s="78">
        <v>9443730480</v>
      </c>
      <c r="O96" s="78">
        <v>9487530480</v>
      </c>
      <c r="P96" s="78"/>
      <c r="Q96" s="80" t="s">
        <v>1485</v>
      </c>
      <c r="R96" s="81">
        <v>759904122343</v>
      </c>
      <c r="S96" s="78"/>
    </row>
    <row r="97" spans="1:19" ht="18.75" x14ac:dyDescent="0.25">
      <c r="A97" s="57">
        <v>95</v>
      </c>
      <c r="B97" s="57" t="s">
        <v>1486</v>
      </c>
      <c r="C97" s="78" t="s">
        <v>1487</v>
      </c>
      <c r="D97" s="57" t="s">
        <v>397</v>
      </c>
      <c r="E97" s="79">
        <v>38607</v>
      </c>
      <c r="F97" s="57">
        <v>603</v>
      </c>
      <c r="G97" s="57" t="s">
        <v>392</v>
      </c>
      <c r="H97" s="57" t="s">
        <v>210</v>
      </c>
      <c r="I97" s="79">
        <v>45537</v>
      </c>
      <c r="J97" s="78" t="s">
        <v>1488</v>
      </c>
      <c r="K97" s="57" t="s">
        <v>1489</v>
      </c>
      <c r="L97" s="78"/>
      <c r="M97" s="78">
        <v>6381531451</v>
      </c>
      <c r="N97" s="78"/>
      <c r="O97" s="78">
        <v>9944228904</v>
      </c>
      <c r="P97" s="78"/>
      <c r="Q97" s="80">
        <v>2006809050</v>
      </c>
      <c r="R97" s="81">
        <v>212516839162</v>
      </c>
      <c r="S97" s="78" t="s">
        <v>1490</v>
      </c>
    </row>
    <row r="98" spans="1:19" ht="18.75" x14ac:dyDescent="0.25">
      <c r="A98" s="57">
        <v>96</v>
      </c>
      <c r="B98" s="57" t="s">
        <v>1491</v>
      </c>
      <c r="C98" s="78" t="s">
        <v>1492</v>
      </c>
      <c r="D98" s="57" t="s">
        <v>391</v>
      </c>
      <c r="E98" s="79">
        <v>38607</v>
      </c>
      <c r="F98" s="57">
        <v>309</v>
      </c>
      <c r="G98" s="57" t="s">
        <v>983</v>
      </c>
      <c r="H98" s="57" t="s">
        <v>371</v>
      </c>
      <c r="I98" s="79">
        <v>45600</v>
      </c>
      <c r="J98" s="78" t="s">
        <v>1493</v>
      </c>
      <c r="K98" s="57" t="s">
        <v>1494</v>
      </c>
      <c r="L98" s="78"/>
      <c r="M98" s="78">
        <v>9791485882</v>
      </c>
      <c r="N98" s="78">
        <v>9791801232</v>
      </c>
      <c r="O98" s="78">
        <v>9791650618</v>
      </c>
      <c r="P98" s="78"/>
      <c r="Q98" s="80">
        <v>2006038655</v>
      </c>
      <c r="R98" s="81">
        <v>706199068115</v>
      </c>
      <c r="S98" s="78"/>
    </row>
    <row r="99" spans="1:19" ht="18.75" x14ac:dyDescent="0.25">
      <c r="A99" s="57">
        <v>97</v>
      </c>
      <c r="B99" s="57" t="s">
        <v>1495</v>
      </c>
      <c r="C99" s="78" t="s">
        <v>1496</v>
      </c>
      <c r="D99" s="57" t="s">
        <v>391</v>
      </c>
      <c r="E99" s="79">
        <v>39119</v>
      </c>
      <c r="F99" s="57">
        <v>356</v>
      </c>
      <c r="G99" s="57" t="s">
        <v>417</v>
      </c>
      <c r="H99" s="57" t="s">
        <v>210</v>
      </c>
      <c r="I99" s="79">
        <v>45539</v>
      </c>
      <c r="J99" s="78" t="s">
        <v>1497</v>
      </c>
      <c r="K99" s="57" t="s">
        <v>1498</v>
      </c>
      <c r="L99" s="78"/>
      <c r="M99" s="78">
        <v>9094450315</v>
      </c>
      <c r="N99" s="78">
        <v>9710246870</v>
      </c>
      <c r="O99" s="78">
        <v>7338757183</v>
      </c>
      <c r="P99" s="78"/>
      <c r="Q99" s="80"/>
      <c r="R99" s="81">
        <v>753962661954</v>
      </c>
      <c r="S99" s="78" t="s">
        <v>1499</v>
      </c>
    </row>
    <row r="100" spans="1:19" ht="18.75" x14ac:dyDescent="0.25">
      <c r="A100" s="57">
        <v>98</v>
      </c>
      <c r="B100" s="57" t="s">
        <v>1500</v>
      </c>
      <c r="C100" s="78" t="s">
        <v>1501</v>
      </c>
      <c r="D100" s="57" t="s">
        <v>391</v>
      </c>
      <c r="E100" s="79">
        <v>38327</v>
      </c>
      <c r="F100" s="57">
        <v>602</v>
      </c>
      <c r="G100" s="57" t="s">
        <v>392</v>
      </c>
      <c r="H100" s="57" t="s">
        <v>210</v>
      </c>
      <c r="I100" s="79">
        <v>45539</v>
      </c>
      <c r="J100" s="78" t="s">
        <v>1502</v>
      </c>
      <c r="K100" s="57" t="s">
        <v>1503</v>
      </c>
      <c r="L100" s="78"/>
      <c r="M100" s="78">
        <v>9791864326</v>
      </c>
      <c r="N100" s="78">
        <v>9655688798</v>
      </c>
      <c r="O100" s="78">
        <v>9751253426</v>
      </c>
      <c r="P100" s="78"/>
      <c r="Q100" s="80" t="s">
        <v>1504</v>
      </c>
      <c r="R100" s="81">
        <v>461048910084</v>
      </c>
      <c r="S100" s="78" t="s">
        <v>1505</v>
      </c>
    </row>
    <row r="101" spans="1:19" ht="18.75" x14ac:dyDescent="0.25">
      <c r="A101" s="57">
        <v>99</v>
      </c>
      <c r="B101" s="57" t="s">
        <v>1506</v>
      </c>
      <c r="C101" s="78" t="s">
        <v>1507</v>
      </c>
      <c r="D101" s="57" t="s">
        <v>391</v>
      </c>
      <c r="E101" s="79">
        <v>38798</v>
      </c>
      <c r="F101" s="57">
        <v>289</v>
      </c>
      <c r="G101" s="57" t="s">
        <v>983</v>
      </c>
      <c r="H101" s="57" t="s">
        <v>210</v>
      </c>
      <c r="I101" s="79">
        <v>45584</v>
      </c>
      <c r="J101" s="78" t="s">
        <v>953</v>
      </c>
      <c r="K101" s="57" t="s">
        <v>1508</v>
      </c>
      <c r="L101" s="78"/>
      <c r="M101" s="78">
        <v>9092522979</v>
      </c>
      <c r="N101" s="78">
        <v>9442422979</v>
      </c>
      <c r="O101" s="78">
        <v>9786676947</v>
      </c>
      <c r="P101" s="78"/>
      <c r="Q101" s="80">
        <v>2011183133</v>
      </c>
      <c r="R101" s="81">
        <v>304485066580</v>
      </c>
      <c r="S101" s="78" t="s">
        <v>1509</v>
      </c>
    </row>
    <row r="102" spans="1:19" ht="18.75" x14ac:dyDescent="0.25">
      <c r="A102" s="57">
        <v>100</v>
      </c>
      <c r="B102" s="57" t="s">
        <v>1510</v>
      </c>
      <c r="C102" s="78" t="s">
        <v>1511</v>
      </c>
      <c r="D102" s="57" t="s">
        <v>391</v>
      </c>
      <c r="E102" s="79">
        <v>38188</v>
      </c>
      <c r="F102" s="57">
        <v>332</v>
      </c>
      <c r="G102" s="57" t="s">
        <v>417</v>
      </c>
      <c r="H102" s="57" t="s">
        <v>210</v>
      </c>
      <c r="I102" s="79">
        <v>45537</v>
      </c>
      <c r="J102" s="78" t="s">
        <v>1512</v>
      </c>
      <c r="K102" s="57" t="s">
        <v>1513</v>
      </c>
      <c r="L102" s="78"/>
      <c r="M102" s="78">
        <v>8248903039</v>
      </c>
      <c r="N102" s="78">
        <v>9750059488</v>
      </c>
      <c r="O102" s="78">
        <v>8778466458</v>
      </c>
      <c r="P102" s="78"/>
      <c r="Q102" s="80" t="s">
        <v>1514</v>
      </c>
      <c r="R102" s="81">
        <v>6333705398904</v>
      </c>
      <c r="S102" s="78" t="s">
        <v>1515</v>
      </c>
    </row>
    <row r="103" spans="1:19" ht="18.75" x14ac:dyDescent="0.25">
      <c r="A103" s="57">
        <v>101</v>
      </c>
      <c r="B103" s="57" t="s">
        <v>1516</v>
      </c>
      <c r="C103" s="78" t="s">
        <v>1517</v>
      </c>
      <c r="D103" s="57" t="s">
        <v>391</v>
      </c>
      <c r="E103" s="79" t="s">
        <v>1518</v>
      </c>
      <c r="F103" s="57">
        <v>518</v>
      </c>
      <c r="G103" s="57" t="s">
        <v>392</v>
      </c>
      <c r="H103" s="57" t="s">
        <v>44</v>
      </c>
      <c r="I103" s="79">
        <v>45539</v>
      </c>
      <c r="J103" s="78" t="s">
        <v>1519</v>
      </c>
      <c r="K103" s="57" t="s">
        <v>1520</v>
      </c>
      <c r="L103" s="78"/>
      <c r="M103" s="78">
        <v>8939678204</v>
      </c>
      <c r="N103" s="78">
        <v>7845897133</v>
      </c>
      <c r="O103" s="78">
        <v>8939467463</v>
      </c>
      <c r="P103" s="78"/>
      <c r="Q103" s="80" t="s">
        <v>1521</v>
      </c>
      <c r="R103" s="81">
        <v>690802944881</v>
      </c>
      <c r="S103" s="78" t="s">
        <v>1522</v>
      </c>
    </row>
    <row r="104" spans="1:19" ht="18.75" x14ac:dyDescent="0.25">
      <c r="A104" s="57">
        <v>102</v>
      </c>
      <c r="B104" s="57" t="s">
        <v>1523</v>
      </c>
      <c r="C104" s="78" t="s">
        <v>1524</v>
      </c>
      <c r="D104" s="57" t="s">
        <v>397</v>
      </c>
      <c r="E104" s="79">
        <v>38092</v>
      </c>
      <c r="F104" s="57">
        <v>588</v>
      </c>
      <c r="G104" s="57" t="s">
        <v>392</v>
      </c>
      <c r="H104" s="57" t="s">
        <v>371</v>
      </c>
      <c r="I104" s="79">
        <v>45565</v>
      </c>
      <c r="J104" s="78" t="s">
        <v>1525</v>
      </c>
      <c r="K104" s="57" t="s">
        <v>1526</v>
      </c>
      <c r="L104" s="78"/>
      <c r="M104" s="78">
        <v>9363688226</v>
      </c>
      <c r="N104" s="78">
        <v>9486404778</v>
      </c>
      <c r="O104" s="78">
        <v>9489834778</v>
      </c>
      <c r="P104" s="78"/>
      <c r="Q104" s="80"/>
      <c r="R104" s="81">
        <v>307711736945</v>
      </c>
      <c r="S104" s="78" t="s">
        <v>1527</v>
      </c>
    </row>
    <row r="105" spans="1:19" ht="18.75" x14ac:dyDescent="0.25">
      <c r="A105" s="57">
        <v>103</v>
      </c>
      <c r="B105" s="57" t="s">
        <v>1528</v>
      </c>
      <c r="C105" s="78" t="s">
        <v>1529</v>
      </c>
      <c r="D105" s="57" t="s">
        <v>397</v>
      </c>
      <c r="E105" s="79">
        <v>38602</v>
      </c>
      <c r="F105" s="57">
        <v>513</v>
      </c>
      <c r="G105" s="57" t="s">
        <v>392</v>
      </c>
      <c r="H105" s="57" t="s">
        <v>44</v>
      </c>
      <c r="I105" s="79">
        <v>45539</v>
      </c>
      <c r="J105" s="78" t="s">
        <v>1530</v>
      </c>
      <c r="K105" s="57" t="s">
        <v>1531</v>
      </c>
      <c r="L105" s="78"/>
      <c r="M105" s="78">
        <v>7826043849</v>
      </c>
      <c r="N105" s="78">
        <v>9843390024</v>
      </c>
      <c r="O105" s="78">
        <v>9047680084</v>
      </c>
      <c r="P105" s="78"/>
      <c r="Q105" s="80" t="s">
        <v>1532</v>
      </c>
      <c r="R105" s="81">
        <v>640508026836</v>
      </c>
      <c r="S105" s="78" t="s">
        <v>1533</v>
      </c>
    </row>
    <row r="106" spans="1:19" ht="18.75" x14ac:dyDescent="0.25">
      <c r="A106" s="57">
        <v>104</v>
      </c>
      <c r="B106" s="57" t="s">
        <v>1534</v>
      </c>
      <c r="C106" s="78" t="s">
        <v>1535</v>
      </c>
      <c r="D106" s="57" t="s">
        <v>397</v>
      </c>
      <c r="E106" s="79">
        <v>38385</v>
      </c>
      <c r="F106" s="57">
        <v>345</v>
      </c>
      <c r="G106" s="57" t="s">
        <v>417</v>
      </c>
      <c r="H106" s="57" t="s">
        <v>222</v>
      </c>
      <c r="I106" s="79">
        <v>45537</v>
      </c>
      <c r="J106" s="78" t="s">
        <v>1536</v>
      </c>
      <c r="K106" s="57" t="s">
        <v>1537</v>
      </c>
      <c r="L106" s="78"/>
      <c r="M106" s="78">
        <v>9042428954</v>
      </c>
      <c r="N106" s="78">
        <v>9442713850</v>
      </c>
      <c r="O106" s="78">
        <v>9487555652</v>
      </c>
      <c r="P106" s="78"/>
      <c r="Q106" s="80"/>
      <c r="R106" s="81">
        <v>790081320007</v>
      </c>
      <c r="S106" s="78" t="s">
        <v>1538</v>
      </c>
    </row>
    <row r="107" spans="1:19" ht="18.75" x14ac:dyDescent="0.25">
      <c r="A107" s="57">
        <v>105</v>
      </c>
      <c r="B107" s="57" t="s">
        <v>1539</v>
      </c>
      <c r="C107" s="78" t="s">
        <v>1540</v>
      </c>
      <c r="D107" s="57" t="s">
        <v>982</v>
      </c>
      <c r="E107" s="79">
        <v>38984</v>
      </c>
      <c r="F107" s="57">
        <v>607</v>
      </c>
      <c r="G107" s="57" t="s">
        <v>392</v>
      </c>
      <c r="H107" s="57" t="s">
        <v>210</v>
      </c>
      <c r="I107" s="79">
        <v>45539</v>
      </c>
      <c r="J107" s="78" t="s">
        <v>1541</v>
      </c>
      <c r="K107" s="57" t="s">
        <v>1542</v>
      </c>
      <c r="L107" s="78"/>
      <c r="M107" s="78">
        <v>6369395674</v>
      </c>
      <c r="N107" s="78">
        <v>9789310770</v>
      </c>
      <c r="O107" s="78">
        <v>9791520678</v>
      </c>
      <c r="P107" s="78"/>
      <c r="Q107" s="80">
        <v>2000709239</v>
      </c>
      <c r="R107" s="81">
        <v>803386549112</v>
      </c>
      <c r="S107" s="78"/>
    </row>
    <row r="108" spans="1:19" ht="18.75" x14ac:dyDescent="0.25">
      <c r="A108" s="57">
        <v>106</v>
      </c>
      <c r="B108" s="57" t="s">
        <v>1543</v>
      </c>
      <c r="C108" s="78" t="s">
        <v>1544</v>
      </c>
      <c r="D108" s="57" t="s">
        <v>397</v>
      </c>
      <c r="E108" s="79">
        <v>38575</v>
      </c>
      <c r="F108" s="57">
        <v>378</v>
      </c>
      <c r="G108" s="57" t="s">
        <v>417</v>
      </c>
      <c r="H108" s="57" t="s">
        <v>241</v>
      </c>
      <c r="I108" s="79">
        <v>45539</v>
      </c>
      <c r="J108" s="78" t="s">
        <v>1545</v>
      </c>
      <c r="K108" s="57" t="s">
        <v>846</v>
      </c>
      <c r="L108" s="78"/>
      <c r="M108" s="78">
        <v>9344406717</v>
      </c>
      <c r="N108" s="78">
        <v>9841043943</v>
      </c>
      <c r="O108" s="78">
        <v>9043535510</v>
      </c>
      <c r="P108" s="78"/>
      <c r="Q108" s="80" t="s">
        <v>1546</v>
      </c>
      <c r="R108" s="81">
        <v>894511388545</v>
      </c>
      <c r="S108" s="78" t="s">
        <v>1547</v>
      </c>
    </row>
    <row r="109" spans="1:19" ht="18.75" x14ac:dyDescent="0.25">
      <c r="A109" s="57">
        <v>107</v>
      </c>
      <c r="B109" s="57" t="s">
        <v>1548</v>
      </c>
      <c r="C109" s="78" t="s">
        <v>1549</v>
      </c>
      <c r="D109" s="57" t="s">
        <v>391</v>
      </c>
      <c r="E109" s="79">
        <v>38411</v>
      </c>
      <c r="F109" s="57">
        <v>585</v>
      </c>
      <c r="G109" s="57" t="s">
        <v>392</v>
      </c>
      <c r="H109" s="57" t="s">
        <v>371</v>
      </c>
      <c r="I109" s="79">
        <v>45585</v>
      </c>
      <c r="J109" s="78" t="s">
        <v>1550</v>
      </c>
      <c r="K109" s="57" t="s">
        <v>1551</v>
      </c>
      <c r="L109" s="78"/>
      <c r="M109" s="78">
        <v>6369343894</v>
      </c>
      <c r="N109" s="78">
        <v>9443107235</v>
      </c>
      <c r="O109" s="78">
        <v>9543311870</v>
      </c>
      <c r="P109" s="78"/>
      <c r="Q109" s="80"/>
      <c r="R109" s="81">
        <v>636801794579</v>
      </c>
      <c r="S109" s="78" t="s">
        <v>1552</v>
      </c>
    </row>
    <row r="110" spans="1:19" ht="18.75" x14ac:dyDescent="0.25">
      <c r="A110" s="57">
        <v>108</v>
      </c>
      <c r="B110" s="57" t="s">
        <v>1553</v>
      </c>
      <c r="C110" s="78" t="s">
        <v>1554</v>
      </c>
      <c r="D110" s="57" t="s">
        <v>397</v>
      </c>
      <c r="E110" s="79">
        <v>37482</v>
      </c>
      <c r="F110" s="57">
        <v>472</v>
      </c>
      <c r="G110" s="57" t="s">
        <v>417</v>
      </c>
      <c r="H110" s="57" t="s">
        <v>210</v>
      </c>
      <c r="I110" s="79">
        <v>45567</v>
      </c>
      <c r="J110" s="78" t="s">
        <v>1555</v>
      </c>
      <c r="K110" s="57" t="s">
        <v>1556</v>
      </c>
      <c r="L110" s="78"/>
      <c r="M110" s="78">
        <v>9342519879</v>
      </c>
      <c r="N110" s="78">
        <v>9498429923</v>
      </c>
      <c r="O110" s="78">
        <v>6374563150</v>
      </c>
      <c r="P110" s="78"/>
      <c r="Q110" s="80" t="s">
        <v>1557</v>
      </c>
      <c r="R110" s="81">
        <v>903210461344</v>
      </c>
      <c r="S110" s="78" t="s">
        <v>1558</v>
      </c>
    </row>
    <row r="111" spans="1:19" ht="18.75" x14ac:dyDescent="0.25">
      <c r="A111" s="57">
        <v>109</v>
      </c>
      <c r="B111" s="57" t="s">
        <v>1559</v>
      </c>
      <c r="C111" s="78" t="s">
        <v>1560</v>
      </c>
      <c r="D111" s="57" t="s">
        <v>391</v>
      </c>
      <c r="E111" s="79">
        <v>37848</v>
      </c>
      <c r="F111" s="57">
        <v>596</v>
      </c>
      <c r="G111" s="57" t="s">
        <v>392</v>
      </c>
      <c r="H111" s="57" t="s">
        <v>217</v>
      </c>
      <c r="I111" s="79">
        <v>45539</v>
      </c>
      <c r="J111" s="78" t="s">
        <v>1561</v>
      </c>
      <c r="K111" s="57" t="s">
        <v>1562</v>
      </c>
      <c r="L111" s="78"/>
      <c r="M111" s="78">
        <v>9345111853</v>
      </c>
      <c r="N111" s="78">
        <v>9578576805</v>
      </c>
      <c r="O111" s="78">
        <v>9443444254</v>
      </c>
      <c r="P111" s="78"/>
      <c r="Q111" s="80" t="s">
        <v>1563</v>
      </c>
      <c r="R111" s="81">
        <v>408012580181</v>
      </c>
      <c r="S111" s="78"/>
    </row>
    <row r="112" spans="1:19" ht="18.75" x14ac:dyDescent="0.25">
      <c r="A112" s="57">
        <v>110</v>
      </c>
      <c r="B112" s="57" t="s">
        <v>1564</v>
      </c>
      <c r="C112" s="78" t="s">
        <v>1565</v>
      </c>
      <c r="D112" s="57" t="s">
        <v>397</v>
      </c>
      <c r="E112" s="79">
        <v>38592</v>
      </c>
      <c r="F112" s="57">
        <v>393</v>
      </c>
      <c r="G112" s="57" t="s">
        <v>417</v>
      </c>
      <c r="H112" s="57" t="s">
        <v>210</v>
      </c>
      <c r="I112" s="79">
        <v>45537</v>
      </c>
      <c r="J112" s="78" t="s">
        <v>1202</v>
      </c>
      <c r="K112" s="57" t="s">
        <v>1566</v>
      </c>
      <c r="L112" s="78"/>
      <c r="M112" s="78">
        <v>7904103196</v>
      </c>
      <c r="N112" s="78">
        <v>8122139814</v>
      </c>
      <c r="O112" s="78">
        <v>9751540714</v>
      </c>
      <c r="P112" s="78"/>
      <c r="Q112" s="80">
        <v>2008522519</v>
      </c>
      <c r="R112" s="81">
        <v>650602719682</v>
      </c>
      <c r="S112" s="78" t="s">
        <v>1567</v>
      </c>
    </row>
    <row r="113" spans="1:19" ht="18.75" x14ac:dyDescent="0.25">
      <c r="A113" s="57">
        <v>111</v>
      </c>
      <c r="B113" s="57" t="s">
        <v>1568</v>
      </c>
      <c r="C113" s="78" t="s">
        <v>1569</v>
      </c>
      <c r="D113" s="57" t="s">
        <v>1000</v>
      </c>
      <c r="E113" s="79">
        <v>37310</v>
      </c>
      <c r="F113" s="57">
        <v>290</v>
      </c>
      <c r="G113" s="57" t="s">
        <v>983</v>
      </c>
      <c r="H113" s="57" t="s">
        <v>371</v>
      </c>
      <c r="I113" s="79">
        <v>45586</v>
      </c>
      <c r="J113" s="78" t="s">
        <v>1570</v>
      </c>
      <c r="K113" s="57" t="s">
        <v>1571</v>
      </c>
      <c r="L113" s="78"/>
      <c r="M113" s="78">
        <v>7845546433</v>
      </c>
      <c r="N113" s="78">
        <v>9791417148</v>
      </c>
      <c r="O113" s="78">
        <v>9952262614</v>
      </c>
      <c r="P113" s="78"/>
      <c r="Q113" s="80" t="s">
        <v>1572</v>
      </c>
      <c r="R113" s="81">
        <v>460287868705</v>
      </c>
      <c r="S113" s="78" t="s">
        <v>1573</v>
      </c>
    </row>
    <row r="114" spans="1:19" ht="18.75" x14ac:dyDescent="0.25">
      <c r="A114" s="57">
        <v>112</v>
      </c>
      <c r="B114" s="57" t="s">
        <v>1574</v>
      </c>
      <c r="C114" s="78" t="s">
        <v>1575</v>
      </c>
      <c r="D114" s="57" t="s">
        <v>397</v>
      </c>
      <c r="E114" s="79">
        <v>38737</v>
      </c>
      <c r="F114" s="57">
        <v>598</v>
      </c>
      <c r="G114" s="57" t="s">
        <v>392</v>
      </c>
      <c r="H114" s="57" t="s">
        <v>210</v>
      </c>
      <c r="I114" s="79">
        <v>45586</v>
      </c>
      <c r="J114" s="78" t="s">
        <v>1576</v>
      </c>
      <c r="K114" s="57" t="s">
        <v>1577</v>
      </c>
      <c r="L114" s="78"/>
      <c r="M114" s="78">
        <v>9363306219</v>
      </c>
      <c r="N114" s="78">
        <v>9159189166</v>
      </c>
      <c r="O114" s="78"/>
      <c r="P114" s="78"/>
      <c r="Q114" s="80" t="s">
        <v>1578</v>
      </c>
      <c r="R114" s="81">
        <v>237548059334</v>
      </c>
      <c r="S114" s="78" t="s">
        <v>1579</v>
      </c>
    </row>
    <row r="115" spans="1:19" ht="18.75" x14ac:dyDescent="0.25">
      <c r="A115" s="57">
        <v>113</v>
      </c>
      <c r="B115" s="57" t="s">
        <v>1580</v>
      </c>
      <c r="C115" s="78" t="s">
        <v>1581</v>
      </c>
      <c r="D115" s="57" t="s">
        <v>391</v>
      </c>
      <c r="E115" s="79">
        <v>38584</v>
      </c>
      <c r="F115" s="57">
        <v>331</v>
      </c>
      <c r="G115" s="57" t="s">
        <v>417</v>
      </c>
      <c r="H115" s="57" t="s">
        <v>210</v>
      </c>
      <c r="I115" s="79">
        <v>45539</v>
      </c>
      <c r="J115" s="78" t="s">
        <v>1582</v>
      </c>
      <c r="K115" s="57" t="s">
        <v>1583</v>
      </c>
      <c r="L115" s="78"/>
      <c r="M115" s="78">
        <v>9443078114</v>
      </c>
      <c r="N115" s="78">
        <v>9486629151</v>
      </c>
      <c r="O115" s="78">
        <v>9487062773</v>
      </c>
      <c r="P115" s="78"/>
      <c r="Q115" s="80"/>
      <c r="R115" s="81">
        <v>475498620911</v>
      </c>
      <c r="S115" s="78"/>
    </row>
    <row r="116" spans="1:19" ht="18.75" x14ac:dyDescent="0.25">
      <c r="A116" s="57">
        <v>114</v>
      </c>
      <c r="B116" s="57" t="s">
        <v>1584</v>
      </c>
      <c r="C116" s="78" t="s">
        <v>1585</v>
      </c>
      <c r="D116" s="57" t="s">
        <v>397</v>
      </c>
      <c r="E116" s="79">
        <v>38942</v>
      </c>
      <c r="F116" s="57">
        <v>339</v>
      </c>
      <c r="G116" s="57" t="s">
        <v>417</v>
      </c>
      <c r="H116" s="57" t="s">
        <v>210</v>
      </c>
      <c r="I116" s="79">
        <v>45537</v>
      </c>
      <c r="J116" s="78" t="s">
        <v>1586</v>
      </c>
      <c r="K116" s="57" t="s">
        <v>785</v>
      </c>
      <c r="L116" s="78"/>
      <c r="M116" s="78">
        <v>7845422132</v>
      </c>
      <c r="N116" s="78">
        <v>9443498209</v>
      </c>
      <c r="O116" s="78">
        <v>87788920290</v>
      </c>
      <c r="P116" s="78"/>
      <c r="Q116" s="80">
        <v>2008830519</v>
      </c>
      <c r="R116" s="81">
        <v>997094225091</v>
      </c>
      <c r="S116" s="78" t="s">
        <v>1587</v>
      </c>
    </row>
    <row r="117" spans="1:19" ht="18.75" x14ac:dyDescent="0.25">
      <c r="A117" s="57">
        <v>115</v>
      </c>
      <c r="B117" s="57" t="s">
        <v>1588</v>
      </c>
      <c r="C117" s="78" t="s">
        <v>1589</v>
      </c>
      <c r="D117" s="57" t="s">
        <v>397</v>
      </c>
      <c r="E117" s="79">
        <v>39022</v>
      </c>
      <c r="F117" s="57">
        <v>605</v>
      </c>
      <c r="G117" s="57" t="s">
        <v>392</v>
      </c>
      <c r="H117" s="57" t="s">
        <v>210</v>
      </c>
      <c r="I117" s="79">
        <v>45537</v>
      </c>
      <c r="J117" s="78" t="s">
        <v>1590</v>
      </c>
      <c r="K117" s="57" t="s">
        <v>1591</v>
      </c>
      <c r="L117" s="78"/>
      <c r="M117" s="78">
        <v>6383660083</v>
      </c>
      <c r="N117" s="78">
        <v>9443284466</v>
      </c>
      <c r="O117" s="78">
        <v>8903662766</v>
      </c>
      <c r="P117" s="78"/>
      <c r="Q117" s="80">
        <v>2016579588</v>
      </c>
      <c r="R117" s="81">
        <v>993726540218</v>
      </c>
      <c r="S117" s="78" t="s">
        <v>1592</v>
      </c>
    </row>
    <row r="118" spans="1:19" ht="18.75" x14ac:dyDescent="0.25">
      <c r="A118" s="57">
        <v>116</v>
      </c>
      <c r="B118" s="57" t="s">
        <v>1593</v>
      </c>
      <c r="C118" s="78" t="s">
        <v>1594</v>
      </c>
      <c r="D118" s="57" t="s">
        <v>1000</v>
      </c>
      <c r="E118" s="79">
        <v>38147</v>
      </c>
      <c r="F118" s="57">
        <v>584</v>
      </c>
      <c r="G118" s="57" t="s">
        <v>392</v>
      </c>
      <c r="H118" s="57" t="s">
        <v>371</v>
      </c>
      <c r="I118" s="79">
        <v>45586</v>
      </c>
      <c r="J118" s="78" t="s">
        <v>1595</v>
      </c>
      <c r="K118" s="57" t="s">
        <v>1596</v>
      </c>
      <c r="L118" s="78"/>
      <c r="M118" s="78">
        <v>9962862004</v>
      </c>
      <c r="N118" s="78">
        <v>9710920070</v>
      </c>
      <c r="O118" s="78">
        <v>8122211790</v>
      </c>
      <c r="P118" s="78"/>
      <c r="Q118" s="80" t="s">
        <v>1597</v>
      </c>
      <c r="R118" s="81">
        <v>314271991095</v>
      </c>
      <c r="S118" s="78" t="s">
        <v>1598</v>
      </c>
    </row>
    <row r="119" spans="1:19" ht="18.75" x14ac:dyDescent="0.25">
      <c r="A119" s="57">
        <v>117</v>
      </c>
      <c r="B119" s="57" t="s">
        <v>1599</v>
      </c>
      <c r="C119" s="78" t="s">
        <v>1600</v>
      </c>
      <c r="D119" s="57" t="s">
        <v>391</v>
      </c>
      <c r="E119" s="79">
        <v>38680</v>
      </c>
      <c r="F119" s="57">
        <v>601</v>
      </c>
      <c r="G119" s="57" t="s">
        <v>392</v>
      </c>
      <c r="H119" s="57" t="s">
        <v>210</v>
      </c>
      <c r="I119" s="79">
        <v>45539</v>
      </c>
      <c r="J119" s="78" t="s">
        <v>1601</v>
      </c>
      <c r="K119" s="57" t="s">
        <v>1602</v>
      </c>
      <c r="L119" s="78"/>
      <c r="M119" s="78">
        <v>9597105973</v>
      </c>
      <c r="N119" s="78">
        <v>6380304105</v>
      </c>
      <c r="O119" s="78">
        <v>6379915926</v>
      </c>
      <c r="P119" s="78"/>
      <c r="Q119" s="80">
        <v>2007066785</v>
      </c>
      <c r="R119" s="81">
        <v>254617392029</v>
      </c>
      <c r="S119" s="78" t="s">
        <v>1603</v>
      </c>
    </row>
    <row r="120" spans="1:19" ht="18.75" x14ac:dyDescent="0.25">
      <c r="A120" s="57">
        <v>118</v>
      </c>
      <c r="B120" s="57" t="s">
        <v>1604</v>
      </c>
      <c r="C120" s="78" t="s">
        <v>1605</v>
      </c>
      <c r="D120" s="57" t="s">
        <v>391</v>
      </c>
      <c r="E120" s="79">
        <v>38419</v>
      </c>
      <c r="F120" s="57">
        <v>330</v>
      </c>
      <c r="G120" s="57" t="s">
        <v>417</v>
      </c>
      <c r="H120" s="57" t="s">
        <v>210</v>
      </c>
      <c r="I120" s="79">
        <v>45540</v>
      </c>
      <c r="J120" s="78" t="s">
        <v>1606</v>
      </c>
      <c r="K120" s="57" t="s">
        <v>1607</v>
      </c>
      <c r="L120" s="78"/>
      <c r="M120" s="78">
        <v>6381526407</v>
      </c>
      <c r="N120" s="78">
        <v>9942570355</v>
      </c>
      <c r="O120" s="78">
        <v>7010141070</v>
      </c>
      <c r="P120" s="78"/>
      <c r="Q120" s="80">
        <v>2001202142</v>
      </c>
      <c r="R120" s="81">
        <v>481300831586</v>
      </c>
      <c r="S120" s="78" t="s">
        <v>1608</v>
      </c>
    </row>
    <row r="121" spans="1:19" ht="18.75" x14ac:dyDescent="0.25">
      <c r="A121" s="57">
        <v>119</v>
      </c>
      <c r="B121" s="57" t="s">
        <v>1609</v>
      </c>
      <c r="C121" s="78" t="s">
        <v>1610</v>
      </c>
      <c r="D121" s="57" t="s">
        <v>982</v>
      </c>
      <c r="E121" s="79">
        <v>38464</v>
      </c>
      <c r="F121" s="57">
        <v>507</v>
      </c>
      <c r="G121" s="57" t="s">
        <v>392</v>
      </c>
      <c r="H121" s="57" t="s">
        <v>44</v>
      </c>
      <c r="I121" s="79">
        <v>45584</v>
      </c>
      <c r="J121" s="78" t="s">
        <v>1611</v>
      </c>
      <c r="K121" s="57" t="s">
        <v>1612</v>
      </c>
      <c r="L121" s="78"/>
      <c r="M121" s="78">
        <v>7010767914</v>
      </c>
      <c r="N121" s="78">
        <v>9952027289</v>
      </c>
      <c r="O121" s="78">
        <v>8825953522</v>
      </c>
      <c r="P121" s="78"/>
      <c r="Q121" s="80" t="s">
        <v>1613</v>
      </c>
      <c r="R121" s="81">
        <v>412614153517</v>
      </c>
      <c r="S121" s="78" t="s">
        <v>1614</v>
      </c>
    </row>
    <row r="122" spans="1:19" ht="18.75" x14ac:dyDescent="0.25">
      <c r="A122" s="57">
        <v>120</v>
      </c>
      <c r="B122" s="57" t="s">
        <v>1615</v>
      </c>
      <c r="C122" s="78" t="s">
        <v>1616</v>
      </c>
      <c r="D122" s="57" t="s">
        <v>397</v>
      </c>
      <c r="E122" s="79">
        <v>38368</v>
      </c>
      <c r="F122" s="57">
        <v>323</v>
      </c>
      <c r="G122" s="57" t="s">
        <v>417</v>
      </c>
      <c r="H122" s="57" t="s">
        <v>210</v>
      </c>
      <c r="I122" s="79">
        <v>45537</v>
      </c>
      <c r="J122" s="78" t="s">
        <v>1617</v>
      </c>
      <c r="K122" s="57" t="s">
        <v>1618</v>
      </c>
      <c r="L122" s="78"/>
      <c r="M122" s="78">
        <v>8056555366</v>
      </c>
      <c r="N122" s="78">
        <v>9842946365</v>
      </c>
      <c r="O122" s="78">
        <v>9865246365</v>
      </c>
      <c r="P122" s="78"/>
      <c r="Q122" s="80" t="s">
        <v>1619</v>
      </c>
      <c r="R122" s="81">
        <v>954585732866</v>
      </c>
      <c r="S122" s="78" t="s">
        <v>1620</v>
      </c>
    </row>
    <row r="123" spans="1:19" ht="18.75" x14ac:dyDescent="0.25">
      <c r="A123" s="57">
        <v>121</v>
      </c>
      <c r="B123" s="57" t="s">
        <v>1621</v>
      </c>
      <c r="C123" s="78" t="s">
        <v>1622</v>
      </c>
      <c r="D123" s="57" t="s">
        <v>982</v>
      </c>
      <c r="E123" s="79">
        <v>38768</v>
      </c>
      <c r="F123" s="57">
        <v>602</v>
      </c>
      <c r="G123" s="57" t="s">
        <v>392</v>
      </c>
      <c r="H123" s="57" t="s">
        <v>210</v>
      </c>
      <c r="I123" s="79">
        <v>45539</v>
      </c>
      <c r="J123" s="78" t="s">
        <v>1623</v>
      </c>
      <c r="K123" s="57" t="s">
        <v>1624</v>
      </c>
      <c r="L123" s="78"/>
      <c r="M123" s="78">
        <v>7010393623</v>
      </c>
      <c r="N123" s="78">
        <v>9894155918</v>
      </c>
      <c r="O123" s="78">
        <v>9944884425</v>
      </c>
      <c r="P123" s="78"/>
      <c r="Q123" s="80">
        <v>2018478521</v>
      </c>
      <c r="R123" s="81">
        <v>719781845368</v>
      </c>
      <c r="S123" s="78" t="s">
        <v>1625</v>
      </c>
    </row>
    <row r="124" spans="1:19" ht="18.75" x14ac:dyDescent="0.25">
      <c r="A124" s="57">
        <v>122</v>
      </c>
      <c r="B124" s="57" t="s">
        <v>1626</v>
      </c>
      <c r="C124" s="78" t="s">
        <v>1627</v>
      </c>
      <c r="D124" s="57" t="s">
        <v>391</v>
      </c>
      <c r="E124" s="79">
        <v>38639</v>
      </c>
      <c r="F124" s="57">
        <v>338</v>
      </c>
      <c r="G124" s="57" t="s">
        <v>417</v>
      </c>
      <c r="H124" s="57" t="s">
        <v>210</v>
      </c>
      <c r="I124" s="79">
        <v>45539</v>
      </c>
      <c r="J124" s="78" t="s">
        <v>1628</v>
      </c>
      <c r="K124" s="57" t="s">
        <v>1629</v>
      </c>
      <c r="L124" s="78"/>
      <c r="M124" s="78">
        <v>8940358269</v>
      </c>
      <c r="N124" s="78">
        <v>9087031610</v>
      </c>
      <c r="O124" s="78">
        <v>8926309358</v>
      </c>
      <c r="P124" s="78"/>
      <c r="Q124" s="80" t="s">
        <v>1630</v>
      </c>
      <c r="R124" s="81">
        <v>618294165573</v>
      </c>
      <c r="S124" s="78" t="s">
        <v>1631</v>
      </c>
    </row>
    <row r="125" spans="1:19" ht="18.75" x14ac:dyDescent="0.25">
      <c r="A125" s="57">
        <v>123</v>
      </c>
      <c r="B125" s="57" t="s">
        <v>1632</v>
      </c>
      <c r="C125" s="78" t="s">
        <v>1633</v>
      </c>
      <c r="D125" s="57" t="s">
        <v>391</v>
      </c>
      <c r="E125" s="79">
        <v>37633</v>
      </c>
      <c r="F125" s="57">
        <v>590</v>
      </c>
      <c r="G125" s="57" t="s">
        <v>392</v>
      </c>
      <c r="H125" s="57" t="s">
        <v>371</v>
      </c>
      <c r="I125" s="79">
        <v>45539</v>
      </c>
      <c r="J125" s="78" t="s">
        <v>1634</v>
      </c>
      <c r="K125" s="57" t="s">
        <v>1551</v>
      </c>
      <c r="L125" s="78"/>
      <c r="M125" s="78">
        <v>6369385027</v>
      </c>
      <c r="N125" s="78">
        <v>9962542894</v>
      </c>
      <c r="O125" s="78">
        <v>7845310763</v>
      </c>
      <c r="P125" s="78"/>
      <c r="Q125" s="80" t="s">
        <v>1635</v>
      </c>
      <c r="R125" s="81">
        <v>732964922004</v>
      </c>
      <c r="S125" s="78" t="s">
        <v>1636</v>
      </c>
    </row>
    <row r="126" spans="1:19" ht="18.75" x14ac:dyDescent="0.25">
      <c r="A126" s="57">
        <v>124</v>
      </c>
      <c r="B126" s="57" t="s">
        <v>1637</v>
      </c>
      <c r="C126" s="78" t="s">
        <v>1638</v>
      </c>
      <c r="D126" s="57" t="s">
        <v>391</v>
      </c>
      <c r="E126" s="79">
        <v>38780</v>
      </c>
      <c r="F126" s="57">
        <v>605</v>
      </c>
      <c r="G126" s="57" t="s">
        <v>392</v>
      </c>
      <c r="H126" s="57" t="s">
        <v>210</v>
      </c>
      <c r="I126" s="79">
        <v>45537</v>
      </c>
      <c r="J126" s="78" t="s">
        <v>1639</v>
      </c>
      <c r="K126" s="57" t="s">
        <v>1640</v>
      </c>
      <c r="L126" s="78"/>
      <c r="M126" s="78">
        <v>8438642391</v>
      </c>
      <c r="N126" s="78">
        <v>9442842391</v>
      </c>
      <c r="O126" s="78">
        <v>9751424705</v>
      </c>
      <c r="P126" s="78"/>
      <c r="Q126" s="80">
        <v>2009178711</v>
      </c>
      <c r="R126" s="81">
        <v>388465962252</v>
      </c>
      <c r="S126" s="78" t="s">
        <v>1641</v>
      </c>
    </row>
    <row r="127" spans="1:19" ht="18.75" x14ac:dyDescent="0.25">
      <c r="A127" s="57">
        <v>125</v>
      </c>
      <c r="B127" s="57" t="s">
        <v>1642</v>
      </c>
      <c r="C127" s="78" t="s">
        <v>1643</v>
      </c>
      <c r="D127" s="57" t="s">
        <v>391</v>
      </c>
      <c r="E127" s="79">
        <v>38336</v>
      </c>
      <c r="F127" s="57">
        <v>601</v>
      </c>
      <c r="G127" s="57" t="s">
        <v>392</v>
      </c>
      <c r="H127" s="57" t="s">
        <v>210</v>
      </c>
      <c r="I127" s="79">
        <v>45569</v>
      </c>
      <c r="J127" s="78" t="s">
        <v>1644</v>
      </c>
      <c r="K127" s="57" t="s">
        <v>1645</v>
      </c>
      <c r="L127" s="78"/>
      <c r="M127" s="78">
        <v>6382078029</v>
      </c>
      <c r="N127" s="78">
        <v>9976911720</v>
      </c>
      <c r="O127" s="78">
        <v>9080735978</v>
      </c>
      <c r="P127" s="78"/>
      <c r="Q127" s="80"/>
      <c r="R127" s="81">
        <v>254032436319</v>
      </c>
      <c r="S127" s="78" t="s">
        <v>1646</v>
      </c>
    </row>
    <row r="128" spans="1:19" ht="18.75" x14ac:dyDescent="0.25">
      <c r="A128" s="57">
        <v>126</v>
      </c>
      <c r="B128" s="57" t="s">
        <v>1647</v>
      </c>
      <c r="C128" s="78" t="s">
        <v>1648</v>
      </c>
      <c r="D128" s="57" t="s">
        <v>391</v>
      </c>
      <c r="E128" s="79">
        <v>37930</v>
      </c>
      <c r="F128" s="57">
        <v>601</v>
      </c>
      <c r="G128" s="57" t="s">
        <v>392</v>
      </c>
      <c r="H128" s="57" t="s">
        <v>210</v>
      </c>
      <c r="I128" s="79">
        <v>45537</v>
      </c>
      <c r="J128" s="78" t="s">
        <v>1649</v>
      </c>
      <c r="K128" s="57" t="s">
        <v>1650</v>
      </c>
      <c r="L128" s="78"/>
      <c r="M128" s="78">
        <v>9345561969</v>
      </c>
      <c r="N128" s="78">
        <v>9488359103</v>
      </c>
      <c r="O128" s="78">
        <v>8778104486</v>
      </c>
      <c r="P128" s="78"/>
      <c r="Q128" s="80" t="s">
        <v>1651</v>
      </c>
      <c r="R128" s="81">
        <v>646398933952</v>
      </c>
      <c r="S128" s="78" t="s">
        <v>1652</v>
      </c>
    </row>
    <row r="129" spans="1:19" ht="18.75" x14ac:dyDescent="0.25">
      <c r="A129" s="57">
        <v>127</v>
      </c>
      <c r="B129" s="57" t="s">
        <v>1653</v>
      </c>
      <c r="C129" s="78" t="s">
        <v>1654</v>
      </c>
      <c r="D129" s="57" t="s">
        <v>397</v>
      </c>
      <c r="E129" s="79">
        <v>38780</v>
      </c>
      <c r="F129" s="57">
        <v>354</v>
      </c>
      <c r="G129" s="57" t="s">
        <v>417</v>
      </c>
      <c r="H129" s="57" t="s">
        <v>371</v>
      </c>
      <c r="I129" s="79">
        <v>45536</v>
      </c>
      <c r="J129" s="78" t="s">
        <v>1655</v>
      </c>
      <c r="K129" s="57" t="s">
        <v>1656</v>
      </c>
      <c r="L129" s="78"/>
      <c r="M129" s="78">
        <v>9043761497</v>
      </c>
      <c r="N129" s="78" t="s">
        <v>1657</v>
      </c>
      <c r="O129" s="78">
        <v>7358541359</v>
      </c>
      <c r="P129" s="78"/>
      <c r="Q129" s="80"/>
      <c r="R129" s="81">
        <v>733427255163</v>
      </c>
      <c r="S129" s="78" t="s">
        <v>1658</v>
      </c>
    </row>
    <row r="130" spans="1:19" ht="18.75" x14ac:dyDescent="0.25">
      <c r="A130" s="57">
        <v>128</v>
      </c>
      <c r="B130" s="57" t="s">
        <v>1659</v>
      </c>
      <c r="C130" s="78" t="s">
        <v>1660</v>
      </c>
      <c r="D130" s="57" t="s">
        <v>391</v>
      </c>
      <c r="E130" s="79">
        <v>38154</v>
      </c>
      <c r="F130" s="57">
        <v>517</v>
      </c>
      <c r="G130" s="57" t="s">
        <v>392</v>
      </c>
      <c r="H130" s="57" t="s">
        <v>44</v>
      </c>
      <c r="I130" s="79">
        <v>45539</v>
      </c>
      <c r="J130" s="78" t="s">
        <v>1661</v>
      </c>
      <c r="K130" s="57" t="s">
        <v>1662</v>
      </c>
      <c r="L130" s="78"/>
      <c r="M130" s="78">
        <v>9944432376</v>
      </c>
      <c r="N130" s="78">
        <v>7010208654</v>
      </c>
      <c r="O130" s="78">
        <v>8508802376</v>
      </c>
      <c r="P130" s="78"/>
      <c r="Q130" s="80" t="s">
        <v>1663</v>
      </c>
      <c r="R130" s="81">
        <v>422303754868</v>
      </c>
      <c r="S130" s="78" t="s">
        <v>1664</v>
      </c>
    </row>
    <row r="131" spans="1:19" ht="18.75" x14ac:dyDescent="0.25">
      <c r="A131" s="57">
        <v>129</v>
      </c>
      <c r="B131" s="57" t="s">
        <v>1665</v>
      </c>
      <c r="C131" s="78" t="s">
        <v>1666</v>
      </c>
      <c r="D131" s="57" t="s">
        <v>397</v>
      </c>
      <c r="E131" s="79">
        <v>38912</v>
      </c>
      <c r="F131" s="57">
        <v>360</v>
      </c>
      <c r="G131" s="57" t="s">
        <v>1667</v>
      </c>
      <c r="H131" s="57" t="s">
        <v>210</v>
      </c>
      <c r="I131" s="79">
        <v>45540</v>
      </c>
      <c r="J131" s="78" t="s">
        <v>1668</v>
      </c>
      <c r="K131" s="57" t="s">
        <v>1669</v>
      </c>
      <c r="L131" s="78"/>
      <c r="M131" s="78">
        <v>9894550164</v>
      </c>
      <c r="N131" s="78">
        <v>9976135213</v>
      </c>
      <c r="O131" s="78">
        <v>9750505838</v>
      </c>
      <c r="P131" s="78"/>
      <c r="Q131" s="80">
        <v>2004259212</v>
      </c>
      <c r="R131" s="81">
        <v>357731288615</v>
      </c>
      <c r="S131" s="78" t="s">
        <v>1670</v>
      </c>
    </row>
    <row r="132" spans="1:19" ht="18.75" x14ac:dyDescent="0.25">
      <c r="A132" s="57">
        <v>130</v>
      </c>
      <c r="B132" s="57" t="s">
        <v>1671</v>
      </c>
      <c r="C132" s="78" t="s">
        <v>1672</v>
      </c>
      <c r="D132" s="57" t="s">
        <v>391</v>
      </c>
      <c r="E132" s="79">
        <v>38550</v>
      </c>
      <c r="F132" s="57">
        <v>601</v>
      </c>
      <c r="G132" s="57" t="s">
        <v>392</v>
      </c>
      <c r="H132" s="57" t="s">
        <v>210</v>
      </c>
      <c r="I132" s="79">
        <v>45537</v>
      </c>
      <c r="J132" s="78" t="s">
        <v>1673</v>
      </c>
      <c r="K132" s="57" t="s">
        <v>1674</v>
      </c>
      <c r="L132" s="78"/>
      <c r="M132" s="78">
        <v>8220436936</v>
      </c>
      <c r="N132" s="78">
        <v>9442327773</v>
      </c>
      <c r="O132" s="78">
        <v>9344279673</v>
      </c>
      <c r="P132" s="78"/>
      <c r="Q132" s="80">
        <v>2016287366</v>
      </c>
      <c r="R132" s="81">
        <v>444738411214</v>
      </c>
      <c r="S132" s="78" t="s">
        <v>1675</v>
      </c>
    </row>
    <row r="133" spans="1:19" ht="18.75" x14ac:dyDescent="0.25">
      <c r="A133" s="57">
        <v>131</v>
      </c>
      <c r="B133" s="57" t="s">
        <v>1676</v>
      </c>
      <c r="C133" s="78" t="s">
        <v>1677</v>
      </c>
      <c r="D133" s="57" t="s">
        <v>391</v>
      </c>
      <c r="E133" s="79">
        <v>38752</v>
      </c>
      <c r="F133" s="57">
        <v>431</v>
      </c>
      <c r="G133" s="57" t="s">
        <v>983</v>
      </c>
      <c r="H133" s="57" t="s">
        <v>210</v>
      </c>
      <c r="I133" s="79">
        <v>45569</v>
      </c>
      <c r="J133" s="78" t="s">
        <v>1678</v>
      </c>
      <c r="K133" s="57" t="s">
        <v>1679</v>
      </c>
      <c r="L133" s="78"/>
      <c r="M133" s="78">
        <v>9345992693</v>
      </c>
      <c r="N133" s="78">
        <v>9751520283</v>
      </c>
      <c r="O133" s="78">
        <v>8838146341</v>
      </c>
      <c r="P133" s="78"/>
      <c r="Q133" s="80" t="s">
        <v>1680</v>
      </c>
      <c r="R133" s="81">
        <v>448228242398</v>
      </c>
      <c r="S133" s="78" t="s">
        <v>1681</v>
      </c>
    </row>
    <row r="134" spans="1:19" ht="18.75" x14ac:dyDescent="0.25">
      <c r="A134" s="57">
        <v>132</v>
      </c>
      <c r="B134" s="57" t="s">
        <v>1682</v>
      </c>
      <c r="C134" s="78" t="s">
        <v>1683</v>
      </c>
      <c r="D134" s="57" t="s">
        <v>982</v>
      </c>
      <c r="E134" s="79">
        <v>39155</v>
      </c>
      <c r="F134" s="57">
        <v>602</v>
      </c>
      <c r="G134" s="57" t="s">
        <v>392</v>
      </c>
      <c r="H134" s="57" t="s">
        <v>210</v>
      </c>
      <c r="I134" s="79">
        <v>45540</v>
      </c>
      <c r="J134" s="78" t="s">
        <v>1479</v>
      </c>
      <c r="K134" s="57" t="s">
        <v>1684</v>
      </c>
      <c r="L134" s="78"/>
      <c r="M134" s="78">
        <v>9965836237</v>
      </c>
      <c r="N134" s="78">
        <v>9629660362</v>
      </c>
      <c r="O134" s="78">
        <v>9629330362</v>
      </c>
      <c r="P134" s="78"/>
      <c r="Q134" s="80">
        <v>2007873944</v>
      </c>
      <c r="R134" s="81">
        <v>557171988723</v>
      </c>
      <c r="S134" s="78" t="s">
        <v>1685</v>
      </c>
    </row>
    <row r="135" spans="1:19" ht="18.75" x14ac:dyDescent="0.25">
      <c r="A135" s="57">
        <v>133</v>
      </c>
      <c r="B135" s="57" t="s">
        <v>1686</v>
      </c>
      <c r="C135" s="78" t="s">
        <v>1687</v>
      </c>
      <c r="D135" s="57" t="s">
        <v>1000</v>
      </c>
      <c r="E135" s="79">
        <v>38395</v>
      </c>
      <c r="F135" s="57">
        <v>509</v>
      </c>
      <c r="G135" s="57" t="s">
        <v>392</v>
      </c>
      <c r="H135" s="57" t="s">
        <v>44</v>
      </c>
      <c r="I135" s="79">
        <v>45586</v>
      </c>
      <c r="J135" s="78" t="s">
        <v>1688</v>
      </c>
      <c r="K135" s="57" t="s">
        <v>1689</v>
      </c>
      <c r="L135" s="78"/>
      <c r="M135" s="78">
        <v>9025897966</v>
      </c>
      <c r="N135" s="78"/>
      <c r="O135" s="78">
        <v>6369566746</v>
      </c>
      <c r="P135" s="78"/>
      <c r="Q135" s="80"/>
      <c r="R135" s="81">
        <v>599698187433</v>
      </c>
      <c r="S135" s="78" t="s">
        <v>1690</v>
      </c>
    </row>
    <row r="136" spans="1:19" ht="18.75" x14ac:dyDescent="0.25">
      <c r="A136" s="57">
        <v>134</v>
      </c>
      <c r="B136" s="57" t="s">
        <v>1691</v>
      </c>
      <c r="C136" s="78" t="s">
        <v>1692</v>
      </c>
      <c r="D136" s="57" t="s">
        <v>1000</v>
      </c>
      <c r="E136" s="79">
        <v>37984</v>
      </c>
      <c r="F136" s="57">
        <v>324</v>
      </c>
      <c r="G136" s="57" t="s">
        <v>983</v>
      </c>
      <c r="H136" s="57" t="s">
        <v>210</v>
      </c>
      <c r="I136" s="79">
        <v>45601</v>
      </c>
      <c r="J136" s="78" t="s">
        <v>1693</v>
      </c>
      <c r="K136" s="57" t="s">
        <v>1694</v>
      </c>
      <c r="L136" s="78"/>
      <c r="M136" s="78">
        <v>8098035236</v>
      </c>
      <c r="N136" s="78">
        <v>9095582896</v>
      </c>
      <c r="O136" s="78">
        <v>9159396007</v>
      </c>
      <c r="P136" s="78"/>
      <c r="Q136" s="80" t="s">
        <v>1695</v>
      </c>
      <c r="R136" s="81">
        <v>893794621701</v>
      </c>
      <c r="S136" s="78"/>
    </row>
    <row r="137" spans="1:19" ht="18.75" x14ac:dyDescent="0.25">
      <c r="A137" s="57">
        <v>135</v>
      </c>
      <c r="B137" s="57" t="s">
        <v>1696</v>
      </c>
      <c r="C137" s="78" t="s">
        <v>1697</v>
      </c>
      <c r="D137" s="57" t="s">
        <v>391</v>
      </c>
      <c r="E137" s="79">
        <v>38420</v>
      </c>
      <c r="F137" s="57">
        <v>423</v>
      </c>
      <c r="G137" s="57" t="s">
        <v>417</v>
      </c>
      <c r="H137" s="57" t="s">
        <v>371</v>
      </c>
      <c r="I137" s="79">
        <v>45540</v>
      </c>
      <c r="J137" s="78" t="s">
        <v>1698</v>
      </c>
      <c r="K137" s="57" t="s">
        <v>1699</v>
      </c>
      <c r="L137" s="78"/>
      <c r="M137" s="78">
        <v>6383807686</v>
      </c>
      <c r="N137" s="78">
        <v>9486613726</v>
      </c>
      <c r="O137" s="78">
        <v>9578929900</v>
      </c>
      <c r="P137" s="78"/>
      <c r="Q137" s="80" t="s">
        <v>1700</v>
      </c>
      <c r="R137" s="81">
        <v>464687198782</v>
      </c>
      <c r="S137" s="78" t="s">
        <v>1701</v>
      </c>
    </row>
    <row r="138" spans="1:19" ht="18.75" x14ac:dyDescent="0.25">
      <c r="A138" s="57">
        <v>136</v>
      </c>
      <c r="B138" s="57" t="s">
        <v>1702</v>
      </c>
      <c r="C138" s="78" t="s">
        <v>1703</v>
      </c>
      <c r="D138" s="57" t="s">
        <v>391</v>
      </c>
      <c r="E138" s="79">
        <v>38420</v>
      </c>
      <c r="F138" s="57">
        <v>350</v>
      </c>
      <c r="G138" s="57" t="s">
        <v>417</v>
      </c>
      <c r="H138" s="57" t="s">
        <v>371</v>
      </c>
      <c r="I138" s="79">
        <v>45540</v>
      </c>
      <c r="J138" s="78" t="s">
        <v>1698</v>
      </c>
      <c r="K138" s="57" t="s">
        <v>1699</v>
      </c>
      <c r="L138" s="78"/>
      <c r="M138" s="78">
        <v>9345290134</v>
      </c>
      <c r="N138" s="78">
        <v>9486613726</v>
      </c>
      <c r="O138" s="78">
        <v>9578929900</v>
      </c>
      <c r="P138" s="78"/>
      <c r="Q138" s="80" t="s">
        <v>1704</v>
      </c>
      <c r="R138" s="81">
        <v>863161234580</v>
      </c>
      <c r="S138" s="78" t="s">
        <v>1705</v>
      </c>
    </row>
    <row r="139" spans="1:19" ht="18.75" x14ac:dyDescent="0.25">
      <c r="A139" s="57">
        <v>137</v>
      </c>
      <c r="B139" s="57" t="s">
        <v>1706</v>
      </c>
      <c r="C139" s="78" t="s">
        <v>1707</v>
      </c>
      <c r="D139" s="57" t="s">
        <v>982</v>
      </c>
      <c r="E139" s="79">
        <v>37971</v>
      </c>
      <c r="F139" s="57">
        <v>588</v>
      </c>
      <c r="G139" s="57" t="s">
        <v>392</v>
      </c>
      <c r="H139" s="57" t="s">
        <v>371</v>
      </c>
      <c r="I139" s="79">
        <v>45536</v>
      </c>
      <c r="J139" s="78" t="s">
        <v>1708</v>
      </c>
      <c r="K139" s="57" t="s">
        <v>1709</v>
      </c>
      <c r="L139" s="78"/>
      <c r="M139" s="78">
        <v>9245293279</v>
      </c>
      <c r="N139" s="78">
        <v>8012723487</v>
      </c>
      <c r="O139" s="78"/>
      <c r="P139" s="78"/>
      <c r="Q139" s="80" t="s">
        <v>1710</v>
      </c>
      <c r="R139" s="81">
        <v>783961060684</v>
      </c>
      <c r="S139" s="78" t="s">
        <v>1711</v>
      </c>
    </row>
    <row r="140" spans="1:19" ht="18.75" x14ac:dyDescent="0.25">
      <c r="A140" s="57">
        <v>138</v>
      </c>
      <c r="B140" s="57" t="s">
        <v>1712</v>
      </c>
      <c r="C140" s="78" t="s">
        <v>1713</v>
      </c>
      <c r="D140" s="57" t="s">
        <v>397</v>
      </c>
      <c r="E140" s="79">
        <v>38795</v>
      </c>
      <c r="F140" s="57">
        <v>355</v>
      </c>
      <c r="G140" s="57" t="s">
        <v>417</v>
      </c>
      <c r="H140" s="57" t="s">
        <v>241</v>
      </c>
      <c r="I140" s="79">
        <v>45538</v>
      </c>
      <c r="J140" s="78" t="s">
        <v>1714</v>
      </c>
      <c r="K140" s="57" t="s">
        <v>1715</v>
      </c>
      <c r="L140" s="78"/>
      <c r="M140" s="78">
        <v>9498418716</v>
      </c>
      <c r="N140" s="78">
        <v>9841840026</v>
      </c>
      <c r="O140" s="78">
        <v>9498313790</v>
      </c>
      <c r="P140" s="78"/>
      <c r="Q140" s="80"/>
      <c r="R140" s="81">
        <v>204967747068</v>
      </c>
      <c r="S140" s="78" t="s">
        <v>1716</v>
      </c>
    </row>
    <row r="141" spans="1:19" ht="18.75" x14ac:dyDescent="0.25">
      <c r="A141" s="57">
        <v>139</v>
      </c>
      <c r="B141" s="57" t="s">
        <v>1717</v>
      </c>
      <c r="C141" s="78" t="s">
        <v>1718</v>
      </c>
      <c r="D141" s="57" t="s">
        <v>391</v>
      </c>
      <c r="E141" s="79">
        <v>38897</v>
      </c>
      <c r="F141" s="57">
        <v>600</v>
      </c>
      <c r="G141" s="57" t="s">
        <v>392</v>
      </c>
      <c r="H141" s="57" t="s">
        <v>210</v>
      </c>
      <c r="I141" s="79">
        <v>45565</v>
      </c>
      <c r="J141" s="78" t="s">
        <v>1719</v>
      </c>
      <c r="K141" s="57" t="s">
        <v>1720</v>
      </c>
      <c r="L141" s="78"/>
      <c r="M141" s="78">
        <v>8610020509</v>
      </c>
      <c r="N141" s="78">
        <v>9944994131</v>
      </c>
      <c r="O141" s="78">
        <v>8973163743</v>
      </c>
      <c r="P141" s="78"/>
      <c r="Q141" s="80">
        <v>2003329482</v>
      </c>
      <c r="R141" s="81">
        <v>377944923152</v>
      </c>
      <c r="S141" s="78" t="s">
        <v>1721</v>
      </c>
    </row>
    <row r="142" spans="1:19" ht="18.75" x14ac:dyDescent="0.25">
      <c r="A142" s="57">
        <v>140</v>
      </c>
      <c r="B142" s="57" t="s">
        <v>1722</v>
      </c>
      <c r="C142" s="78" t="s">
        <v>1723</v>
      </c>
      <c r="D142" s="57" t="s">
        <v>391</v>
      </c>
      <c r="E142" s="79">
        <v>39035</v>
      </c>
      <c r="F142" s="57">
        <v>603</v>
      </c>
      <c r="G142" s="57" t="s">
        <v>392</v>
      </c>
      <c r="H142" s="57" t="s">
        <v>210</v>
      </c>
      <c r="I142" s="79">
        <v>45565</v>
      </c>
      <c r="J142" s="78" t="s">
        <v>1724</v>
      </c>
      <c r="K142" s="57" t="s">
        <v>1464</v>
      </c>
      <c r="L142" s="78"/>
      <c r="M142" s="78">
        <v>9043144546</v>
      </c>
      <c r="N142" s="78">
        <v>9444544546</v>
      </c>
      <c r="O142" s="78">
        <v>9442514373</v>
      </c>
      <c r="P142" s="78"/>
      <c r="Q142" s="80" t="s">
        <v>1725</v>
      </c>
      <c r="R142" s="81">
        <v>696929074205</v>
      </c>
      <c r="S142" s="78" t="s">
        <v>1726</v>
      </c>
    </row>
    <row r="143" spans="1:19" ht="18.75" x14ac:dyDescent="0.25">
      <c r="A143" s="67">
        <v>141</v>
      </c>
      <c r="B143" s="67" t="s">
        <v>1727</v>
      </c>
      <c r="C143" s="82" t="s">
        <v>1728</v>
      </c>
      <c r="D143" s="67" t="s">
        <v>1000</v>
      </c>
      <c r="E143" s="83">
        <v>38667</v>
      </c>
      <c r="F143" s="67">
        <v>506</v>
      </c>
      <c r="G143" s="67">
        <v>7.5</v>
      </c>
      <c r="H143" s="67" t="s">
        <v>214</v>
      </c>
      <c r="I143" s="83">
        <v>45534</v>
      </c>
      <c r="J143" s="82" t="s">
        <v>1729</v>
      </c>
      <c r="K143" s="67" t="s">
        <v>1730</v>
      </c>
      <c r="L143" s="82"/>
      <c r="M143" s="82">
        <v>7845205344</v>
      </c>
      <c r="N143" s="82">
        <v>9655880685</v>
      </c>
      <c r="O143" s="82">
        <v>9952202829</v>
      </c>
      <c r="P143" s="82"/>
      <c r="Q143" s="84">
        <v>1015289689</v>
      </c>
      <c r="R143" s="85">
        <v>363462389724</v>
      </c>
      <c r="S143" s="82" t="s">
        <v>1731</v>
      </c>
    </row>
    <row r="144" spans="1:19" ht="18.75" x14ac:dyDescent="0.25">
      <c r="A144" s="57">
        <v>142</v>
      </c>
      <c r="B144" s="57" t="s">
        <v>1732</v>
      </c>
      <c r="C144" s="78" t="s">
        <v>1733</v>
      </c>
      <c r="D144" s="57" t="s">
        <v>391</v>
      </c>
      <c r="E144" s="79">
        <v>38858</v>
      </c>
      <c r="F144" s="57">
        <v>329</v>
      </c>
      <c r="G144" s="57" t="s">
        <v>417</v>
      </c>
      <c r="H144" s="57" t="s">
        <v>210</v>
      </c>
      <c r="I144" s="79">
        <v>45536</v>
      </c>
      <c r="J144" s="78" t="s">
        <v>1734</v>
      </c>
      <c r="K144" s="57" t="s">
        <v>1735</v>
      </c>
      <c r="L144" s="78"/>
      <c r="M144" s="78">
        <v>6381435144</v>
      </c>
      <c r="N144" s="78">
        <v>9150284773</v>
      </c>
      <c r="O144" s="78">
        <v>9442550750</v>
      </c>
      <c r="P144" s="78"/>
      <c r="Q144" s="80">
        <v>201193714</v>
      </c>
      <c r="R144" s="81">
        <v>986041314553</v>
      </c>
      <c r="S144" s="78" t="s">
        <v>1736</v>
      </c>
    </row>
    <row r="145" spans="1:19" ht="18.75" x14ac:dyDescent="0.25">
      <c r="A145" s="57">
        <v>143</v>
      </c>
      <c r="B145" s="57" t="s">
        <v>1737</v>
      </c>
      <c r="C145" s="78" t="s">
        <v>1738</v>
      </c>
      <c r="D145" s="57" t="s">
        <v>391</v>
      </c>
      <c r="E145" s="79">
        <v>38318</v>
      </c>
      <c r="F145" s="57">
        <v>603</v>
      </c>
      <c r="G145" s="57" t="s">
        <v>392</v>
      </c>
      <c r="H145" s="57" t="s">
        <v>210</v>
      </c>
      <c r="I145" s="79">
        <v>45536</v>
      </c>
      <c r="J145" s="78" t="s">
        <v>1739</v>
      </c>
      <c r="K145" s="57" t="s">
        <v>764</v>
      </c>
      <c r="L145" s="78"/>
      <c r="M145" s="78">
        <v>9894994976</v>
      </c>
      <c r="N145" s="78" t="s">
        <v>1740</v>
      </c>
      <c r="O145" s="78">
        <v>9150342123</v>
      </c>
      <c r="P145" s="78"/>
      <c r="Q145" s="80" t="s">
        <v>1741</v>
      </c>
      <c r="R145" s="81">
        <v>350233436684</v>
      </c>
      <c r="S145" s="78" t="s">
        <v>1742</v>
      </c>
    </row>
    <row r="146" spans="1:19" ht="18.75" x14ac:dyDescent="0.25">
      <c r="A146" s="57">
        <v>144</v>
      </c>
      <c r="B146" s="57" t="s">
        <v>1743</v>
      </c>
      <c r="C146" s="78" t="s">
        <v>1744</v>
      </c>
      <c r="D146" s="57" t="s">
        <v>1000</v>
      </c>
      <c r="E146" s="79">
        <v>37800</v>
      </c>
      <c r="F146" s="57">
        <v>400</v>
      </c>
      <c r="G146" s="57" t="s">
        <v>983</v>
      </c>
      <c r="H146" s="57" t="s">
        <v>44</v>
      </c>
      <c r="I146" s="79">
        <v>45570</v>
      </c>
      <c r="J146" s="78" t="s">
        <v>1745</v>
      </c>
      <c r="K146" s="57" t="s">
        <v>1746</v>
      </c>
      <c r="L146" s="78"/>
      <c r="M146" s="78">
        <v>7871452990</v>
      </c>
      <c r="N146" s="78">
        <v>9442978990</v>
      </c>
      <c r="O146" s="78">
        <v>9894439967</v>
      </c>
      <c r="P146" s="78"/>
      <c r="Q146" s="80" t="s">
        <v>1747</v>
      </c>
      <c r="R146" s="81">
        <v>828658127989</v>
      </c>
      <c r="S146" s="78" t="s">
        <v>1748</v>
      </c>
    </row>
    <row r="147" spans="1:19" ht="18.75" x14ac:dyDescent="0.25">
      <c r="A147" s="57">
        <v>145</v>
      </c>
      <c r="B147" s="57" t="s">
        <v>1749</v>
      </c>
      <c r="C147" s="78" t="s">
        <v>1750</v>
      </c>
      <c r="D147" s="57" t="s">
        <v>1000</v>
      </c>
      <c r="E147" s="79">
        <v>38871</v>
      </c>
      <c r="F147" s="57">
        <v>320</v>
      </c>
      <c r="G147" s="57" t="s">
        <v>417</v>
      </c>
      <c r="H147" s="57" t="s">
        <v>222</v>
      </c>
      <c r="I147" s="79">
        <v>45566</v>
      </c>
      <c r="J147" s="78" t="s">
        <v>1751</v>
      </c>
      <c r="K147" s="57" t="s">
        <v>1752</v>
      </c>
      <c r="L147" s="78"/>
      <c r="M147" s="78">
        <v>9043400306</v>
      </c>
      <c r="N147" s="78">
        <v>9912033335</v>
      </c>
      <c r="O147" s="78">
        <v>7893777550</v>
      </c>
      <c r="P147" s="78"/>
      <c r="Q147" s="80"/>
      <c r="R147" s="81">
        <v>791006506959</v>
      </c>
      <c r="S147" s="78" t="s">
        <v>1753</v>
      </c>
    </row>
    <row r="148" spans="1:19" ht="18.75" x14ac:dyDescent="0.25">
      <c r="A148" s="57">
        <v>146</v>
      </c>
      <c r="B148" s="57" t="s">
        <v>1754</v>
      </c>
      <c r="C148" s="78" t="s">
        <v>1755</v>
      </c>
      <c r="D148" s="57" t="s">
        <v>397</v>
      </c>
      <c r="E148" s="79">
        <v>38964</v>
      </c>
      <c r="F148" s="57">
        <v>160</v>
      </c>
      <c r="G148" s="57" t="s">
        <v>1756</v>
      </c>
      <c r="H148" s="57" t="s">
        <v>371</v>
      </c>
      <c r="I148" s="79">
        <v>45535</v>
      </c>
      <c r="J148" s="78" t="s">
        <v>1757</v>
      </c>
      <c r="K148" s="57" t="s">
        <v>1758</v>
      </c>
      <c r="L148" s="78"/>
      <c r="M148" s="78">
        <v>9363538781</v>
      </c>
      <c r="N148" s="78">
        <v>97431004994</v>
      </c>
      <c r="O148" s="78">
        <v>9551880350</v>
      </c>
      <c r="P148" s="78"/>
      <c r="Q148" s="80"/>
      <c r="R148" s="81">
        <v>914585322904</v>
      </c>
      <c r="S148" s="78" t="s">
        <v>1759</v>
      </c>
    </row>
    <row r="149" spans="1:19" ht="18.75" x14ac:dyDescent="0.25">
      <c r="A149" s="57">
        <v>147</v>
      </c>
      <c r="B149" s="57" t="s">
        <v>1760</v>
      </c>
      <c r="C149" s="78" t="s">
        <v>1761</v>
      </c>
      <c r="D149" s="57" t="s">
        <v>397</v>
      </c>
      <c r="E149" s="79">
        <v>38400</v>
      </c>
      <c r="F149" s="57">
        <v>507</v>
      </c>
      <c r="G149" s="57" t="s">
        <v>417</v>
      </c>
      <c r="H149" s="57" t="s">
        <v>210</v>
      </c>
      <c r="I149" s="79">
        <v>45539</v>
      </c>
      <c r="J149" s="78" t="s">
        <v>1762</v>
      </c>
      <c r="K149" s="57" t="s">
        <v>1763</v>
      </c>
      <c r="L149" s="78"/>
      <c r="M149" s="78">
        <v>9566859467</v>
      </c>
      <c r="N149" s="78">
        <v>9842005067</v>
      </c>
      <c r="O149" s="78">
        <v>6383792740</v>
      </c>
      <c r="P149" s="78"/>
      <c r="Q149" s="80" t="s">
        <v>1764</v>
      </c>
      <c r="R149" s="81">
        <v>290859665637</v>
      </c>
      <c r="S149" s="78" t="s">
        <v>1765</v>
      </c>
    </row>
    <row r="150" spans="1:19" ht="18.75" x14ac:dyDescent="0.25">
      <c r="A150" s="57">
        <v>148</v>
      </c>
      <c r="B150" s="57" t="s">
        <v>1766</v>
      </c>
      <c r="C150" s="78" t="s">
        <v>1767</v>
      </c>
      <c r="D150" s="57" t="s">
        <v>391</v>
      </c>
      <c r="E150" s="79">
        <v>38264</v>
      </c>
      <c r="F150" s="57">
        <v>603</v>
      </c>
      <c r="G150" s="57" t="s">
        <v>392</v>
      </c>
      <c r="H150" s="57" t="s">
        <v>210</v>
      </c>
      <c r="I150" s="79">
        <v>45537</v>
      </c>
      <c r="J150" s="78" t="s">
        <v>1768</v>
      </c>
      <c r="K150" s="57" t="s">
        <v>1769</v>
      </c>
      <c r="L150" s="78"/>
      <c r="M150" s="78">
        <v>9597513120</v>
      </c>
      <c r="N150" s="78">
        <v>9626917608</v>
      </c>
      <c r="O150" s="78">
        <v>7584026003</v>
      </c>
      <c r="P150" s="78"/>
      <c r="Q150" s="80" t="s">
        <v>1770</v>
      </c>
      <c r="R150" s="81">
        <v>645430516762</v>
      </c>
      <c r="S150" s="78" t="s">
        <v>1771</v>
      </c>
    </row>
    <row r="151" spans="1:19" ht="18.75" x14ac:dyDescent="0.25">
      <c r="A151" s="57">
        <v>149</v>
      </c>
      <c r="B151" s="57" t="s">
        <v>1772</v>
      </c>
      <c r="C151" s="78" t="s">
        <v>1773</v>
      </c>
      <c r="D151" s="57" t="s">
        <v>397</v>
      </c>
      <c r="E151" s="79">
        <v>38427</v>
      </c>
      <c r="F151" s="57">
        <v>319</v>
      </c>
      <c r="G151" s="57" t="s">
        <v>417</v>
      </c>
      <c r="H151" s="57" t="s">
        <v>210</v>
      </c>
      <c r="I151" s="79">
        <v>45569</v>
      </c>
      <c r="J151" s="78" t="s">
        <v>1774</v>
      </c>
      <c r="K151" s="57" t="s">
        <v>1775</v>
      </c>
      <c r="L151" s="78"/>
      <c r="M151" s="78">
        <v>8939048358</v>
      </c>
      <c r="N151" s="78">
        <v>9441399706</v>
      </c>
      <c r="O151" s="78">
        <v>8248790619</v>
      </c>
      <c r="P151" s="78"/>
      <c r="Q151" s="80" t="s">
        <v>1776</v>
      </c>
      <c r="R151" s="81">
        <v>756309922659</v>
      </c>
      <c r="S151" s="78" t="s">
        <v>1777</v>
      </c>
    </row>
    <row r="152" spans="1:19" ht="18.75" x14ac:dyDescent="0.25">
      <c r="A152" s="57">
        <v>150</v>
      </c>
      <c r="B152" s="57" t="s">
        <v>1778</v>
      </c>
      <c r="C152" s="78" t="s">
        <v>1779</v>
      </c>
      <c r="D152" s="57" t="s">
        <v>397</v>
      </c>
      <c r="E152" s="79">
        <v>38318</v>
      </c>
      <c r="F152" s="57">
        <v>420</v>
      </c>
      <c r="G152" s="57" t="s">
        <v>392</v>
      </c>
      <c r="H152" s="57" t="s">
        <v>88</v>
      </c>
      <c r="I152" s="79">
        <v>45539</v>
      </c>
      <c r="J152" s="78" t="s">
        <v>1780</v>
      </c>
      <c r="K152" s="57" t="s">
        <v>1781</v>
      </c>
      <c r="L152" s="78"/>
      <c r="M152" s="78">
        <v>7806904271</v>
      </c>
      <c r="N152" s="78">
        <v>9443489951</v>
      </c>
      <c r="O152" s="78">
        <v>9488969363</v>
      </c>
      <c r="P152" s="78"/>
      <c r="Q152" s="80" t="s">
        <v>1782</v>
      </c>
      <c r="R152" s="81">
        <v>309907126457</v>
      </c>
      <c r="S152" s="78" t="s">
        <v>1783</v>
      </c>
    </row>
  </sheetData>
  <mergeCells count="1">
    <mergeCell ref="A1:S1"/>
  </mergeCells>
  <hyperlinks>
    <hyperlink ref="S51" r:id="rId1"/>
    <hyperlink ref="S54" r:id="rId2"/>
    <hyperlink ref="S10" r:id="rId3"/>
    <hyperlink ref="S86" r:id="rId4"/>
    <hyperlink ref="S148" r:id="rId5"/>
    <hyperlink ref="S93" r:id="rId6"/>
    <hyperlink ref="S5" r:id="rId7"/>
    <hyperlink ref="S149" r:id="rId8"/>
    <hyperlink ref="S49" r:id="rId9"/>
    <hyperlink ref="S62" r:id="rId10"/>
    <hyperlink ref="S126" r:id="rId11"/>
    <hyperlink ref="S18" r:id="rId12"/>
    <hyperlink ref="S117" r:id="rId13"/>
    <hyperlink ref="S23" r:id="rId14"/>
    <hyperlink ref="S85" r:id="rId15"/>
    <hyperlink ref="S8" r:id="rId16"/>
    <hyperlink ref="S97" r:id="rId17"/>
    <hyperlink ref="S145" r:id="rId18"/>
    <hyperlink ref="S150" r:id="rId19"/>
    <hyperlink ref="S66" r:id="rId20"/>
    <hyperlink ref="S79" r:id="rId21"/>
    <hyperlink ref="S55" r:id="rId22"/>
    <hyperlink ref="S75" r:id="rId23"/>
    <hyperlink ref="S14" r:id="rId24"/>
    <hyperlink ref="S137" r:id="rId25"/>
    <hyperlink ref="S60" r:id="rId26"/>
    <hyperlink ref="S112" r:id="rId27"/>
    <hyperlink ref="S140" r:id="rId28"/>
    <hyperlink ref="S64" r:id="rId29"/>
    <hyperlink ref="S84" r:id="rId30"/>
    <hyperlink ref="S50" r:id="rId31"/>
    <hyperlink ref="S81" r:id="rId32"/>
    <hyperlink ref="S108" r:id="rId33"/>
    <hyperlink ref="S69" r:id="rId34"/>
    <hyperlink ref="S131" r:id="rId35"/>
    <hyperlink ref="S99" r:id="rId36"/>
    <hyperlink ref="S4" r:id="rId37"/>
    <hyperlink ref="S3" r:id="rId38"/>
    <hyperlink ref="S129" r:id="rId39"/>
    <hyperlink ref="S35" r:id="rId40"/>
    <hyperlink ref="S67" r:id="rId41"/>
    <hyperlink ref="S123" r:id="rId42"/>
    <hyperlink ref="S134" r:id="rId43"/>
    <hyperlink ref="S100" r:id="rId44"/>
    <hyperlink ref="S128" r:id="rId45"/>
    <hyperlink ref="S132" r:id="rId46"/>
    <hyperlink ref="S15" r:id="rId47"/>
    <hyperlink ref="S6" r:id="rId48"/>
    <hyperlink ref="S143" r:id="rId49"/>
    <hyperlink ref="S19" r:id="rId50"/>
    <hyperlink ref="S34" r:id="rId51"/>
    <hyperlink ref="S102" r:id="rId52"/>
    <hyperlink ref="S94" r:id="rId53"/>
    <hyperlink ref="S116" r:id="rId54"/>
    <hyperlink ref="S106" r:id="rId55"/>
    <hyperlink ref="S138" r:id="rId56"/>
    <hyperlink ref="S27" r:id="rId57"/>
    <hyperlink ref="S11" r:id="rId58"/>
    <hyperlink ref="S73" r:id="rId59"/>
    <hyperlink ref="S13" r:id="rId60"/>
    <hyperlink ref="S124" r:id="rId61"/>
    <hyperlink ref="S25" r:id="rId62"/>
    <hyperlink ref="S57" r:id="rId63" display="jayasabari20004@gmail.com"/>
    <hyperlink ref="S12" r:id="rId64"/>
    <hyperlink ref="S39" r:id="rId65"/>
    <hyperlink ref="S139" r:id="rId66"/>
    <hyperlink ref="S52" r:id="rId67"/>
    <hyperlink ref="S24" r:id="rId68"/>
    <hyperlink ref="S144" r:id="rId69"/>
    <hyperlink ref="S122" r:id="rId70"/>
    <hyperlink ref="S68" r:id="rId71"/>
    <hyperlink ref="S120" r:id="rId72"/>
    <hyperlink ref="S40" r:id="rId73"/>
    <hyperlink ref="S78" r:id="rId74"/>
    <hyperlink ref="S83" r:id="rId75"/>
    <hyperlink ref="S29" r:id="rId76"/>
    <hyperlink ref="S36" r:id="rId77"/>
    <hyperlink ref="S45" r:id="rId78"/>
    <hyperlink ref="S65" r:id="rId79"/>
    <hyperlink ref="S125" r:id="rId80"/>
    <hyperlink ref="S130" r:id="rId81"/>
    <hyperlink ref="S82" r:id="rId82"/>
    <hyperlink ref="S105" r:id="rId83"/>
    <hyperlink ref="S7" r:id="rId84"/>
    <hyperlink ref="S152" r:id="rId85"/>
    <hyperlink ref="S17" r:id="rId86"/>
    <hyperlink ref="S89" r:id="rId87"/>
    <hyperlink ref="S47" r:id="rId88"/>
    <hyperlink ref="S142" r:id="rId89"/>
    <hyperlink ref="S33" r:id="rId90"/>
    <hyperlink ref="S141" r:id="rId91"/>
    <hyperlink ref="S16" r:id="rId92"/>
    <hyperlink ref="S38" r:id="rId93"/>
    <hyperlink ref="S147" r:id="rId94"/>
    <hyperlink ref="S30" r:id="rId95"/>
    <hyperlink ref="S110" r:id="rId96"/>
    <hyperlink ref="S63" r:id="rId97"/>
    <hyperlink ref="S77" r:id="rId98"/>
    <hyperlink ref="S72" r:id="rId99"/>
    <hyperlink ref="S31" r:id="rId100"/>
    <hyperlink ref="S58" r:id="rId101"/>
    <hyperlink ref="S127" r:id="rId102"/>
    <hyperlink ref="S133" r:id="rId103"/>
    <hyperlink ref="S151" r:id="rId104"/>
    <hyperlink ref="S37" r:id="rId105"/>
    <hyperlink ref="S42" r:id="rId106"/>
    <hyperlink ref="S80" r:id="rId107"/>
    <hyperlink ref="S70" r:id="rId108"/>
    <hyperlink ref="S53" r:id="rId109"/>
    <hyperlink ref="S101" r:id="rId110"/>
    <hyperlink ref="S121" r:id="rId111"/>
    <hyperlink ref="S109" r:id="rId112"/>
    <hyperlink ref="S88" r:id="rId113"/>
    <hyperlink ref="S59" r:id="rId114"/>
    <hyperlink ref="S135" r:id="rId115"/>
    <hyperlink ref="S118" r:id="rId116"/>
    <hyperlink ref="S56" r:id="rId117"/>
    <hyperlink ref="S113" r:id="rId118"/>
    <hyperlink ref="S26" r:id="rId119"/>
    <hyperlink ref="S114" r:id="rId120"/>
    <hyperlink ref="S41" r:id="rId121"/>
  </hyperlinks>
  <pageMargins left="0.7" right="0.7" top="0.75" bottom="0.75" header="0.3" footer="0.3"/>
  <drawing r:id="rId1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3"/>
  <sheetViews>
    <sheetView tabSelected="1" workbookViewId="0">
      <selection activeCell="H8" sqref="H8"/>
    </sheetView>
  </sheetViews>
  <sheetFormatPr defaultRowHeight="15" x14ac:dyDescent="0.25"/>
  <cols>
    <col min="1" max="1" width="7.140625" style="88" bestFit="1" customWidth="1"/>
    <col min="2" max="2" width="13.140625" style="88" customWidth="1"/>
    <col min="3" max="3" width="50.28515625" style="88" bestFit="1" customWidth="1"/>
    <col min="4" max="4" width="12.42578125" style="88" bestFit="1" customWidth="1"/>
    <col min="5" max="5" width="5.140625" style="88" bestFit="1" customWidth="1"/>
    <col min="6" max="6" width="15" style="88" bestFit="1" customWidth="1"/>
    <col min="7" max="7" width="13.7109375" style="88" bestFit="1" customWidth="1"/>
    <col min="8" max="8" width="16.5703125" style="88" bestFit="1" customWidth="1"/>
    <col min="9" max="9" width="13.42578125" style="111" bestFit="1" customWidth="1"/>
    <col min="10" max="10" width="8.42578125" style="88" bestFit="1" customWidth="1"/>
    <col min="11" max="11" width="8.42578125" style="88" customWidth="1"/>
    <col min="12" max="12" width="9.7109375" style="111" bestFit="1" customWidth="1"/>
    <col min="13" max="13" width="8.42578125" style="88" bestFit="1" customWidth="1"/>
    <col min="14" max="14" width="12.28515625" style="88" bestFit="1" customWidth="1"/>
    <col min="15" max="15" width="8" style="88" bestFit="1" customWidth="1"/>
    <col min="16" max="17" width="8.42578125" style="88" bestFit="1" customWidth="1"/>
    <col min="18" max="18" width="7.7109375" style="88" bestFit="1" customWidth="1"/>
    <col min="19" max="19" width="10.28515625" style="88" bestFit="1" customWidth="1"/>
    <col min="20" max="20" width="14.28515625" style="88" bestFit="1" customWidth="1"/>
    <col min="21" max="21" width="15.7109375" style="88" bestFit="1" customWidth="1"/>
    <col min="22" max="22" width="25.85546875" style="88" customWidth="1"/>
    <col min="23" max="16384" width="9.140625" style="88"/>
  </cols>
  <sheetData>
    <row r="1" spans="1:22" ht="15.75" x14ac:dyDescent="0.25">
      <c r="A1" s="86" t="s">
        <v>1784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7"/>
    </row>
    <row r="2" spans="1:22" ht="15.75" x14ac:dyDescent="0.25">
      <c r="A2" s="89">
        <v>1</v>
      </c>
      <c r="B2" s="89">
        <v>4</v>
      </c>
      <c r="C2" s="89">
        <v>5</v>
      </c>
      <c r="D2" s="89">
        <v>6</v>
      </c>
      <c r="E2" s="89">
        <v>7</v>
      </c>
      <c r="F2" s="90">
        <v>8</v>
      </c>
      <c r="G2" s="89">
        <v>9</v>
      </c>
      <c r="H2" s="89">
        <v>10</v>
      </c>
      <c r="I2" s="91">
        <v>11</v>
      </c>
      <c r="J2" s="89"/>
      <c r="K2" s="92">
        <v>12</v>
      </c>
      <c r="L2" s="91">
        <v>13</v>
      </c>
      <c r="M2" s="89"/>
      <c r="N2" s="89">
        <v>14</v>
      </c>
      <c r="O2" s="89"/>
      <c r="P2" s="89">
        <v>15</v>
      </c>
      <c r="Q2" s="89"/>
      <c r="R2" s="89">
        <v>16</v>
      </c>
      <c r="S2" s="89"/>
      <c r="T2" s="90">
        <v>17</v>
      </c>
      <c r="U2" s="89">
        <v>18</v>
      </c>
      <c r="V2" s="93"/>
    </row>
    <row r="3" spans="1:22" ht="177" x14ac:dyDescent="0.25">
      <c r="A3" s="94" t="s">
        <v>191</v>
      </c>
      <c r="B3" s="94" t="s">
        <v>194</v>
      </c>
      <c r="C3" s="94" t="s">
        <v>195</v>
      </c>
      <c r="D3" s="94" t="s">
        <v>196</v>
      </c>
      <c r="E3" s="95" t="s">
        <v>1785</v>
      </c>
      <c r="F3" s="96" t="s">
        <v>198</v>
      </c>
      <c r="G3" s="94" t="s">
        <v>8</v>
      </c>
      <c r="H3" s="94" t="s">
        <v>9</v>
      </c>
      <c r="I3" s="97" t="s">
        <v>1786</v>
      </c>
      <c r="J3" s="95" t="s">
        <v>1787</v>
      </c>
      <c r="K3" s="95" t="s">
        <v>200</v>
      </c>
      <c r="L3" s="97" t="s">
        <v>1788</v>
      </c>
      <c r="M3" s="95" t="s">
        <v>1789</v>
      </c>
      <c r="N3" s="95" t="s">
        <v>1790</v>
      </c>
      <c r="O3" s="95" t="s">
        <v>1791</v>
      </c>
      <c r="P3" s="95" t="s">
        <v>1792</v>
      </c>
      <c r="Q3" s="95" t="s">
        <v>1793</v>
      </c>
      <c r="R3" s="95" t="s">
        <v>1794</v>
      </c>
      <c r="S3" s="95" t="s">
        <v>23</v>
      </c>
      <c r="T3" s="98" t="s">
        <v>205</v>
      </c>
      <c r="U3" s="94" t="s">
        <v>206</v>
      </c>
      <c r="V3" s="93"/>
    </row>
    <row r="4" spans="1:22" ht="24.95" customHeight="1" x14ac:dyDescent="0.25">
      <c r="A4" s="94">
        <v>1</v>
      </c>
      <c r="B4" s="57">
        <v>79847</v>
      </c>
      <c r="C4" s="78" t="s">
        <v>1795</v>
      </c>
      <c r="D4" s="57" t="s">
        <v>391</v>
      </c>
      <c r="E4" s="57" t="s">
        <v>1796</v>
      </c>
      <c r="F4" s="99">
        <v>39574</v>
      </c>
      <c r="G4" s="100" t="s">
        <v>392</v>
      </c>
      <c r="H4" s="57"/>
      <c r="I4" s="101">
        <f>91+95+92</f>
        <v>278</v>
      </c>
      <c r="J4" s="57">
        <v>300</v>
      </c>
      <c r="K4" s="57">
        <f t="shared" ref="K4:K67" si="0">I4/300</f>
        <v>0.92666666666666664</v>
      </c>
      <c r="L4" s="101">
        <v>94</v>
      </c>
      <c r="M4" s="102">
        <v>100</v>
      </c>
      <c r="N4" s="103">
        <f t="shared" ref="N4:N67" si="1">L4/100</f>
        <v>0.94</v>
      </c>
      <c r="O4" s="103" t="s">
        <v>29</v>
      </c>
      <c r="P4" s="57">
        <v>478</v>
      </c>
      <c r="Q4" s="57">
        <v>720</v>
      </c>
      <c r="R4" s="103">
        <f t="shared" ref="R4:R67" si="2">P4/720</f>
        <v>0.66388888888888886</v>
      </c>
      <c r="S4" s="57">
        <v>450000</v>
      </c>
      <c r="T4" s="104">
        <v>45966</v>
      </c>
      <c r="U4" s="57">
        <v>4106106471</v>
      </c>
      <c r="V4" s="93"/>
    </row>
    <row r="5" spans="1:22" ht="24.95" customHeight="1" x14ac:dyDescent="0.25">
      <c r="A5" s="94">
        <v>2</v>
      </c>
      <c r="B5" s="57">
        <v>74131</v>
      </c>
      <c r="C5" s="58" t="s">
        <v>1797</v>
      </c>
      <c r="D5" s="100" t="s">
        <v>391</v>
      </c>
      <c r="E5" s="57" t="s">
        <v>1796</v>
      </c>
      <c r="F5" s="104">
        <v>38537</v>
      </c>
      <c r="G5" s="100" t="s">
        <v>392</v>
      </c>
      <c r="H5" s="57"/>
      <c r="I5" s="101">
        <f>80+78+85</f>
        <v>243</v>
      </c>
      <c r="J5" s="102">
        <v>300</v>
      </c>
      <c r="K5" s="103">
        <f t="shared" si="0"/>
        <v>0.81</v>
      </c>
      <c r="L5" s="105">
        <v>93</v>
      </c>
      <c r="M5" s="103">
        <v>100</v>
      </c>
      <c r="N5" s="103">
        <f t="shared" si="1"/>
        <v>0.93</v>
      </c>
      <c r="O5" s="103" t="s">
        <v>29</v>
      </c>
      <c r="P5" s="57">
        <v>482</v>
      </c>
      <c r="Q5" s="57">
        <v>720</v>
      </c>
      <c r="R5" s="57">
        <f t="shared" si="2"/>
        <v>0.6694444444444444</v>
      </c>
      <c r="S5" s="57">
        <v>450000</v>
      </c>
      <c r="T5" s="104">
        <v>45889</v>
      </c>
      <c r="U5" s="57">
        <v>4108102545</v>
      </c>
      <c r="V5" s="93"/>
    </row>
    <row r="6" spans="1:22" ht="24.95" customHeight="1" x14ac:dyDescent="0.25">
      <c r="A6" s="94">
        <v>3</v>
      </c>
      <c r="B6" s="57">
        <v>75278</v>
      </c>
      <c r="C6" s="58" t="s">
        <v>1798</v>
      </c>
      <c r="D6" s="100" t="s">
        <v>397</v>
      </c>
      <c r="E6" s="57" t="s">
        <v>1796</v>
      </c>
      <c r="F6" s="104">
        <v>39217</v>
      </c>
      <c r="G6" s="100" t="s">
        <v>392</v>
      </c>
      <c r="H6" s="57"/>
      <c r="I6" s="101">
        <f>80+91+90</f>
        <v>261</v>
      </c>
      <c r="J6" s="102">
        <v>300</v>
      </c>
      <c r="K6" s="103">
        <f t="shared" si="0"/>
        <v>0.87</v>
      </c>
      <c r="L6" s="105">
        <v>92</v>
      </c>
      <c r="M6" s="103">
        <v>100</v>
      </c>
      <c r="N6" s="103">
        <f t="shared" si="1"/>
        <v>0.92</v>
      </c>
      <c r="O6" s="103" t="s">
        <v>29</v>
      </c>
      <c r="P6" s="57">
        <v>481</v>
      </c>
      <c r="Q6" s="57">
        <v>720</v>
      </c>
      <c r="R6" s="57">
        <f t="shared" si="2"/>
        <v>0.66805555555555551</v>
      </c>
      <c r="S6" s="57">
        <v>450000</v>
      </c>
      <c r="T6" s="104">
        <v>45930</v>
      </c>
      <c r="U6" s="57">
        <v>4106103036</v>
      </c>
      <c r="V6" s="93"/>
    </row>
    <row r="7" spans="1:22" ht="24.95" customHeight="1" x14ac:dyDescent="0.25">
      <c r="A7" s="94">
        <v>4</v>
      </c>
      <c r="B7" s="57">
        <v>74863</v>
      </c>
      <c r="C7" s="58" t="s">
        <v>1799</v>
      </c>
      <c r="D7" s="100" t="s">
        <v>397</v>
      </c>
      <c r="E7" s="57" t="s">
        <v>1796</v>
      </c>
      <c r="F7" s="104">
        <v>38692</v>
      </c>
      <c r="G7" s="100" t="s">
        <v>392</v>
      </c>
      <c r="H7" s="57"/>
      <c r="I7" s="101">
        <f>84+95+87</f>
        <v>266</v>
      </c>
      <c r="J7" s="102">
        <v>300</v>
      </c>
      <c r="K7" s="103">
        <f t="shared" si="0"/>
        <v>0.88666666666666671</v>
      </c>
      <c r="L7" s="105">
        <v>82</v>
      </c>
      <c r="M7" s="103">
        <v>100</v>
      </c>
      <c r="N7" s="103">
        <f t="shared" si="1"/>
        <v>0.82</v>
      </c>
      <c r="O7" s="103" t="s">
        <v>29</v>
      </c>
      <c r="P7" s="57">
        <v>482</v>
      </c>
      <c r="Q7" s="57">
        <v>720</v>
      </c>
      <c r="R7" s="103">
        <f t="shared" si="2"/>
        <v>0.6694444444444444</v>
      </c>
      <c r="S7" s="57">
        <v>450000</v>
      </c>
      <c r="T7" s="104">
        <v>45891</v>
      </c>
      <c r="U7" s="57">
        <v>4131105318</v>
      </c>
      <c r="V7" s="93"/>
    </row>
    <row r="8" spans="1:22" ht="24.95" customHeight="1" x14ac:dyDescent="0.25">
      <c r="A8" s="94">
        <v>5</v>
      </c>
      <c r="B8" s="57">
        <v>293140</v>
      </c>
      <c r="C8" s="58" t="s">
        <v>1800</v>
      </c>
      <c r="D8" s="100" t="s">
        <v>397</v>
      </c>
      <c r="E8" s="57" t="s">
        <v>1796</v>
      </c>
      <c r="F8" s="104">
        <v>38880</v>
      </c>
      <c r="G8" s="100" t="s">
        <v>417</v>
      </c>
      <c r="H8" s="57"/>
      <c r="I8" s="101">
        <f>67+87+85</f>
        <v>239</v>
      </c>
      <c r="J8" s="102">
        <v>300</v>
      </c>
      <c r="K8" s="103">
        <f t="shared" si="0"/>
        <v>0.79666666666666663</v>
      </c>
      <c r="L8" s="105">
        <v>93</v>
      </c>
      <c r="M8" s="103">
        <v>100</v>
      </c>
      <c r="N8" s="103">
        <f t="shared" si="1"/>
        <v>0.93</v>
      </c>
      <c r="O8" s="103" t="s">
        <v>29</v>
      </c>
      <c r="P8" s="57">
        <v>360</v>
      </c>
      <c r="Q8" s="57">
        <v>720</v>
      </c>
      <c r="R8" s="57">
        <f t="shared" si="2"/>
        <v>0.5</v>
      </c>
      <c r="S8" s="57">
        <v>1500000</v>
      </c>
      <c r="T8" s="104">
        <v>45893</v>
      </c>
      <c r="U8" s="57">
        <v>4118104245</v>
      </c>
      <c r="V8" s="93"/>
    </row>
    <row r="9" spans="1:22" ht="24.95" customHeight="1" x14ac:dyDescent="0.25">
      <c r="A9" s="94">
        <v>6</v>
      </c>
      <c r="B9" s="57">
        <v>62693</v>
      </c>
      <c r="C9" s="58" t="s">
        <v>1801</v>
      </c>
      <c r="D9" s="100" t="s">
        <v>397</v>
      </c>
      <c r="E9" s="57" t="s">
        <v>1796</v>
      </c>
      <c r="F9" s="104">
        <v>38876</v>
      </c>
      <c r="G9" s="100" t="s">
        <v>392</v>
      </c>
      <c r="H9" s="79"/>
      <c r="I9" s="101">
        <f>96+98+97</f>
        <v>291</v>
      </c>
      <c r="J9" s="102">
        <v>300</v>
      </c>
      <c r="K9" s="103">
        <f t="shared" si="0"/>
        <v>0.97</v>
      </c>
      <c r="L9" s="105">
        <v>95</v>
      </c>
      <c r="M9" s="103">
        <v>100</v>
      </c>
      <c r="N9" s="103">
        <f t="shared" si="1"/>
        <v>0.95</v>
      </c>
      <c r="O9" s="103" t="s">
        <v>29</v>
      </c>
      <c r="P9" s="57">
        <v>491</v>
      </c>
      <c r="Q9" s="57">
        <v>720</v>
      </c>
      <c r="R9" s="57">
        <f t="shared" si="2"/>
        <v>0.68194444444444446</v>
      </c>
      <c r="S9" s="57">
        <v>450000</v>
      </c>
      <c r="T9" s="104">
        <v>45893</v>
      </c>
      <c r="U9" s="57">
        <v>4107104538</v>
      </c>
      <c r="V9" s="93"/>
    </row>
    <row r="10" spans="1:22" ht="24.95" customHeight="1" x14ac:dyDescent="0.25">
      <c r="A10" s="94">
        <v>7</v>
      </c>
      <c r="B10" s="57">
        <v>515712</v>
      </c>
      <c r="C10" s="78" t="s">
        <v>1802</v>
      </c>
      <c r="D10" s="57" t="s">
        <v>397</v>
      </c>
      <c r="E10" s="57" t="s">
        <v>1796</v>
      </c>
      <c r="F10" s="99">
        <v>38890</v>
      </c>
      <c r="G10" s="100" t="s">
        <v>417</v>
      </c>
      <c r="H10" s="57"/>
      <c r="I10" s="101">
        <f>73+73+90</f>
        <v>236</v>
      </c>
      <c r="J10" s="57">
        <v>300</v>
      </c>
      <c r="K10" s="57">
        <f t="shared" si="0"/>
        <v>0.78666666666666663</v>
      </c>
      <c r="L10" s="101">
        <v>79</v>
      </c>
      <c r="M10" s="102">
        <v>100</v>
      </c>
      <c r="N10" s="103">
        <f t="shared" si="1"/>
        <v>0.79</v>
      </c>
      <c r="O10" s="103" t="s">
        <v>29</v>
      </c>
      <c r="P10" s="57">
        <v>276</v>
      </c>
      <c r="Q10" s="57">
        <v>720</v>
      </c>
      <c r="R10" s="103">
        <f t="shared" si="2"/>
        <v>0.38333333333333336</v>
      </c>
      <c r="S10" s="57">
        <v>1500000</v>
      </c>
      <c r="T10" s="104">
        <v>45966</v>
      </c>
      <c r="U10" s="57">
        <v>4122101117</v>
      </c>
      <c r="V10" s="93"/>
    </row>
    <row r="11" spans="1:22" ht="24.95" customHeight="1" x14ac:dyDescent="0.25">
      <c r="A11" s="94">
        <v>8</v>
      </c>
      <c r="B11" s="57">
        <v>179483</v>
      </c>
      <c r="C11" s="58" t="s">
        <v>1803</v>
      </c>
      <c r="D11" s="100" t="s">
        <v>397</v>
      </c>
      <c r="E11" s="57" t="s">
        <v>1796</v>
      </c>
      <c r="F11" s="104">
        <v>38955</v>
      </c>
      <c r="G11" s="100" t="s">
        <v>392</v>
      </c>
      <c r="H11" s="57"/>
      <c r="I11" s="101">
        <f>82+87+89</f>
        <v>258</v>
      </c>
      <c r="J11" s="102">
        <v>300</v>
      </c>
      <c r="K11" s="103">
        <f t="shared" si="0"/>
        <v>0.86</v>
      </c>
      <c r="L11" s="105">
        <v>87</v>
      </c>
      <c r="M11" s="103">
        <v>100</v>
      </c>
      <c r="N11" s="103">
        <f t="shared" si="1"/>
        <v>0.87</v>
      </c>
      <c r="O11" s="103" t="s">
        <v>29</v>
      </c>
      <c r="P11" s="57">
        <v>416</v>
      </c>
      <c r="Q11" s="57">
        <v>720</v>
      </c>
      <c r="R11" s="57">
        <f t="shared" si="2"/>
        <v>0.57777777777777772</v>
      </c>
      <c r="S11" s="57">
        <v>450000</v>
      </c>
      <c r="T11" s="104">
        <v>45969</v>
      </c>
      <c r="U11" s="57">
        <v>4131101283</v>
      </c>
      <c r="V11" s="93"/>
    </row>
    <row r="12" spans="1:22" ht="24.95" customHeight="1" x14ac:dyDescent="0.25">
      <c r="A12" s="94">
        <v>9</v>
      </c>
      <c r="B12" s="57">
        <v>64315</v>
      </c>
      <c r="C12" s="58" t="s">
        <v>1804</v>
      </c>
      <c r="D12" s="100" t="s">
        <v>391</v>
      </c>
      <c r="E12" s="57" t="s">
        <v>1796</v>
      </c>
      <c r="F12" s="104">
        <v>38160</v>
      </c>
      <c r="G12" s="100" t="s">
        <v>392</v>
      </c>
      <c r="H12" s="57"/>
      <c r="I12" s="101">
        <f>92+97+95</f>
        <v>284</v>
      </c>
      <c r="J12" s="102">
        <v>300</v>
      </c>
      <c r="K12" s="103">
        <f t="shared" si="0"/>
        <v>0.94666666666666666</v>
      </c>
      <c r="L12" s="105">
        <v>86</v>
      </c>
      <c r="M12" s="103">
        <v>100</v>
      </c>
      <c r="N12" s="103">
        <f t="shared" si="1"/>
        <v>0.86</v>
      </c>
      <c r="O12" s="103" t="s">
        <v>29</v>
      </c>
      <c r="P12" s="57">
        <v>490</v>
      </c>
      <c r="Q12" s="57">
        <v>720</v>
      </c>
      <c r="R12" s="57">
        <f t="shared" si="2"/>
        <v>0.68055555555555558</v>
      </c>
      <c r="S12" s="57">
        <v>450000</v>
      </c>
      <c r="T12" s="104">
        <v>45891</v>
      </c>
      <c r="U12" s="57">
        <v>4102104049</v>
      </c>
      <c r="V12" s="93"/>
    </row>
    <row r="13" spans="1:22" ht="24.95" customHeight="1" x14ac:dyDescent="0.25">
      <c r="A13" s="94">
        <v>10</v>
      </c>
      <c r="B13" s="57">
        <v>339949</v>
      </c>
      <c r="C13" s="58" t="s">
        <v>1805</v>
      </c>
      <c r="D13" s="100" t="s">
        <v>397</v>
      </c>
      <c r="E13" s="57" t="s">
        <v>1796</v>
      </c>
      <c r="F13" s="104">
        <v>38681</v>
      </c>
      <c r="G13" s="100" t="s">
        <v>417</v>
      </c>
      <c r="H13" s="57"/>
      <c r="I13" s="101">
        <f>71+86+79</f>
        <v>236</v>
      </c>
      <c r="J13" s="102">
        <v>300</v>
      </c>
      <c r="K13" s="103">
        <f t="shared" si="0"/>
        <v>0.78666666666666663</v>
      </c>
      <c r="L13" s="105">
        <v>79</v>
      </c>
      <c r="M13" s="103">
        <v>100</v>
      </c>
      <c r="N13" s="103">
        <f t="shared" si="1"/>
        <v>0.79</v>
      </c>
      <c r="O13" s="103" t="s">
        <v>29</v>
      </c>
      <c r="P13" s="57">
        <v>340</v>
      </c>
      <c r="Q13" s="57">
        <v>720</v>
      </c>
      <c r="R13" s="57">
        <f t="shared" si="2"/>
        <v>0.47222222222222221</v>
      </c>
      <c r="S13" s="57">
        <v>1500000</v>
      </c>
      <c r="T13" s="104">
        <v>45969</v>
      </c>
      <c r="U13" s="57">
        <v>2808305046</v>
      </c>
      <c r="V13" s="93"/>
    </row>
    <row r="14" spans="1:22" ht="24.95" customHeight="1" x14ac:dyDescent="0.25">
      <c r="A14" s="94">
        <v>11</v>
      </c>
      <c r="B14" s="57">
        <v>65000</v>
      </c>
      <c r="C14" s="58" t="s">
        <v>1806</v>
      </c>
      <c r="D14" s="100" t="s">
        <v>391</v>
      </c>
      <c r="E14" s="57" t="s">
        <v>1796</v>
      </c>
      <c r="F14" s="104">
        <v>38425</v>
      </c>
      <c r="G14" s="100" t="s">
        <v>392</v>
      </c>
      <c r="H14" s="57"/>
      <c r="I14" s="101">
        <f>77+74+82</f>
        <v>233</v>
      </c>
      <c r="J14" s="102">
        <v>300</v>
      </c>
      <c r="K14" s="103">
        <f t="shared" si="0"/>
        <v>0.77666666666666662</v>
      </c>
      <c r="L14" s="105">
        <v>69</v>
      </c>
      <c r="M14" s="103">
        <v>100</v>
      </c>
      <c r="N14" s="103">
        <f t="shared" si="1"/>
        <v>0.69</v>
      </c>
      <c r="O14" s="103" t="s">
        <v>29</v>
      </c>
      <c r="P14" s="57">
        <v>489</v>
      </c>
      <c r="Q14" s="57">
        <v>720</v>
      </c>
      <c r="R14" s="57">
        <f t="shared" si="2"/>
        <v>0.6791666666666667</v>
      </c>
      <c r="S14" s="57">
        <v>450000</v>
      </c>
      <c r="T14" s="104">
        <v>45890</v>
      </c>
      <c r="U14" s="57">
        <v>4126101060</v>
      </c>
      <c r="V14" s="93"/>
    </row>
    <row r="15" spans="1:22" ht="24.95" customHeight="1" x14ac:dyDescent="0.25">
      <c r="A15" s="94">
        <v>12</v>
      </c>
      <c r="B15" s="57"/>
      <c r="C15" s="58" t="s">
        <v>1807</v>
      </c>
      <c r="D15" s="100" t="s">
        <v>397</v>
      </c>
      <c r="E15" s="57" t="s">
        <v>1796</v>
      </c>
      <c r="F15" s="104">
        <v>38918</v>
      </c>
      <c r="G15" s="100" t="s">
        <v>417</v>
      </c>
      <c r="H15" s="100"/>
      <c r="I15" s="101">
        <f>62+69+61</f>
        <v>192</v>
      </c>
      <c r="J15" s="102">
        <v>300</v>
      </c>
      <c r="K15" s="103">
        <f t="shared" si="0"/>
        <v>0.64</v>
      </c>
      <c r="L15" s="105">
        <v>74</v>
      </c>
      <c r="M15" s="103">
        <v>100</v>
      </c>
      <c r="N15" s="103">
        <f t="shared" si="1"/>
        <v>0.74</v>
      </c>
      <c r="O15" s="103" t="s">
        <v>29</v>
      </c>
      <c r="P15" s="57">
        <v>280</v>
      </c>
      <c r="Q15" s="57">
        <v>720</v>
      </c>
      <c r="R15" s="57">
        <f t="shared" si="2"/>
        <v>0.3888888888888889</v>
      </c>
      <c r="S15" s="57">
        <v>1500000</v>
      </c>
      <c r="T15" s="104">
        <v>45926</v>
      </c>
      <c r="U15" s="57">
        <v>4108113222</v>
      </c>
      <c r="V15" s="93"/>
    </row>
    <row r="16" spans="1:22" ht="24.95" customHeight="1" x14ac:dyDescent="0.25">
      <c r="A16" s="94">
        <v>13</v>
      </c>
      <c r="B16" s="57"/>
      <c r="C16" s="78" t="s">
        <v>1808</v>
      </c>
      <c r="D16" s="57" t="s">
        <v>391</v>
      </c>
      <c r="E16" s="57" t="s">
        <v>1796</v>
      </c>
      <c r="F16" s="79">
        <v>39191</v>
      </c>
      <c r="G16" s="100" t="s">
        <v>417</v>
      </c>
      <c r="H16" s="57"/>
      <c r="I16" s="101">
        <f>62+76+69</f>
        <v>207</v>
      </c>
      <c r="J16" s="102">
        <v>300</v>
      </c>
      <c r="K16" s="103">
        <f t="shared" si="0"/>
        <v>0.69</v>
      </c>
      <c r="L16" s="105">
        <v>88</v>
      </c>
      <c r="M16" s="103">
        <v>100</v>
      </c>
      <c r="N16" s="103">
        <f t="shared" si="1"/>
        <v>0.88</v>
      </c>
      <c r="O16" s="103" t="s">
        <v>29</v>
      </c>
      <c r="P16" s="57">
        <v>204</v>
      </c>
      <c r="Q16" s="57">
        <v>720</v>
      </c>
      <c r="R16" s="57">
        <f t="shared" si="2"/>
        <v>0.28333333333333333</v>
      </c>
      <c r="S16" s="57">
        <v>1500000</v>
      </c>
      <c r="T16" s="104">
        <v>45967</v>
      </c>
      <c r="U16" s="57">
        <v>4129106153</v>
      </c>
      <c r="V16" s="93"/>
    </row>
    <row r="17" spans="1:22" ht="24.95" customHeight="1" x14ac:dyDescent="0.25">
      <c r="A17" s="94">
        <v>14</v>
      </c>
      <c r="B17" s="57">
        <v>74308</v>
      </c>
      <c r="C17" s="58" t="s">
        <v>1809</v>
      </c>
      <c r="D17" s="100" t="s">
        <v>391</v>
      </c>
      <c r="E17" s="57" t="s">
        <v>1796</v>
      </c>
      <c r="F17" s="104">
        <v>38689</v>
      </c>
      <c r="G17" s="100" t="s">
        <v>392</v>
      </c>
      <c r="H17" s="57"/>
      <c r="I17" s="101">
        <f>87+95+82</f>
        <v>264</v>
      </c>
      <c r="J17" s="102">
        <v>300</v>
      </c>
      <c r="K17" s="103">
        <f t="shared" si="0"/>
        <v>0.88</v>
      </c>
      <c r="L17" s="105">
        <v>85</v>
      </c>
      <c r="M17" s="103">
        <v>100</v>
      </c>
      <c r="N17" s="103">
        <f t="shared" si="1"/>
        <v>0.85</v>
      </c>
      <c r="O17" s="103" t="s">
        <v>29</v>
      </c>
      <c r="P17" s="57">
        <v>482</v>
      </c>
      <c r="Q17" s="57">
        <v>720</v>
      </c>
      <c r="R17" s="103">
        <f t="shared" si="2"/>
        <v>0.6694444444444444</v>
      </c>
      <c r="S17" s="57">
        <v>450000</v>
      </c>
      <c r="T17" s="104">
        <v>45890</v>
      </c>
      <c r="U17" s="57">
        <v>4122102155</v>
      </c>
      <c r="V17" s="93"/>
    </row>
    <row r="18" spans="1:22" ht="24.95" customHeight="1" x14ac:dyDescent="0.25">
      <c r="A18" s="94">
        <v>15</v>
      </c>
      <c r="B18" s="57">
        <v>333847</v>
      </c>
      <c r="C18" s="78" t="s">
        <v>1810</v>
      </c>
      <c r="D18" s="57" t="s">
        <v>391</v>
      </c>
      <c r="E18" s="57" t="s">
        <v>1796</v>
      </c>
      <c r="F18" s="79">
        <v>38400</v>
      </c>
      <c r="G18" s="100" t="s">
        <v>417</v>
      </c>
      <c r="H18" s="57"/>
      <c r="I18" s="101">
        <f>60+64+77</f>
        <v>201</v>
      </c>
      <c r="J18" s="57">
        <v>300</v>
      </c>
      <c r="K18" s="57">
        <f t="shared" si="0"/>
        <v>0.67</v>
      </c>
      <c r="L18" s="101">
        <v>82</v>
      </c>
      <c r="M18" s="102">
        <v>100</v>
      </c>
      <c r="N18" s="103">
        <f t="shared" si="1"/>
        <v>0.82</v>
      </c>
      <c r="O18" s="103" t="s">
        <v>29</v>
      </c>
      <c r="P18" s="57">
        <v>342</v>
      </c>
      <c r="Q18" s="57">
        <v>720</v>
      </c>
      <c r="R18" s="103">
        <f t="shared" si="2"/>
        <v>0.47499999999999998</v>
      </c>
      <c r="S18" s="57">
        <v>1500000</v>
      </c>
      <c r="T18" s="104">
        <v>45968</v>
      </c>
      <c r="U18" s="57">
        <v>4114108148</v>
      </c>
      <c r="V18" s="93"/>
    </row>
    <row r="19" spans="1:22" ht="24.95" customHeight="1" x14ac:dyDescent="0.25">
      <c r="A19" s="94">
        <v>16</v>
      </c>
      <c r="B19" s="57">
        <v>299129</v>
      </c>
      <c r="C19" s="78" t="s">
        <v>1811</v>
      </c>
      <c r="D19" s="57" t="s">
        <v>391</v>
      </c>
      <c r="E19" s="57" t="s">
        <v>1796</v>
      </c>
      <c r="F19" s="99">
        <v>38961</v>
      </c>
      <c r="G19" s="100" t="s">
        <v>417</v>
      </c>
      <c r="H19" s="57"/>
      <c r="I19" s="101">
        <f>67+72+82</f>
        <v>221</v>
      </c>
      <c r="J19" s="57">
        <v>300</v>
      </c>
      <c r="K19" s="57">
        <f t="shared" si="0"/>
        <v>0.73666666666666669</v>
      </c>
      <c r="L19" s="101">
        <v>77</v>
      </c>
      <c r="M19" s="102">
        <v>100</v>
      </c>
      <c r="N19" s="103">
        <f t="shared" si="1"/>
        <v>0.77</v>
      </c>
      <c r="O19" s="103" t="s">
        <v>29</v>
      </c>
      <c r="P19" s="57">
        <v>357</v>
      </c>
      <c r="Q19" s="57">
        <v>720</v>
      </c>
      <c r="R19" s="103">
        <f t="shared" si="2"/>
        <v>0.49583333333333335</v>
      </c>
      <c r="S19" s="57">
        <v>1500000</v>
      </c>
      <c r="T19" s="104">
        <v>45968</v>
      </c>
      <c r="U19" s="57">
        <v>4108108288</v>
      </c>
      <c r="V19" s="93"/>
    </row>
    <row r="20" spans="1:22" ht="24.95" customHeight="1" x14ac:dyDescent="0.25">
      <c r="A20" s="94">
        <v>17</v>
      </c>
      <c r="B20" s="57">
        <v>139260</v>
      </c>
      <c r="C20" s="58" t="s">
        <v>1812</v>
      </c>
      <c r="D20" s="100" t="s">
        <v>391</v>
      </c>
      <c r="E20" s="57" t="s">
        <v>1796</v>
      </c>
      <c r="F20" s="104">
        <v>38923</v>
      </c>
      <c r="G20" s="100" t="s">
        <v>1813</v>
      </c>
      <c r="H20" s="57"/>
      <c r="I20" s="101">
        <f>85+80+83</f>
        <v>248</v>
      </c>
      <c r="J20" s="102">
        <v>300</v>
      </c>
      <c r="K20" s="103">
        <f t="shared" si="0"/>
        <v>0.82666666666666666</v>
      </c>
      <c r="L20" s="105">
        <v>75</v>
      </c>
      <c r="M20" s="103">
        <v>100</v>
      </c>
      <c r="N20" s="103">
        <f t="shared" si="1"/>
        <v>0.75</v>
      </c>
      <c r="O20" s="103" t="s">
        <v>29</v>
      </c>
      <c r="P20" s="57">
        <v>439</v>
      </c>
      <c r="Q20" s="57">
        <v>720</v>
      </c>
      <c r="R20" s="57">
        <f t="shared" si="2"/>
        <v>0.60972222222222228</v>
      </c>
      <c r="S20" s="57" t="s">
        <v>1814</v>
      </c>
      <c r="T20" s="104">
        <v>45873</v>
      </c>
      <c r="U20" s="57">
        <v>4120101174</v>
      </c>
      <c r="V20" s="93"/>
    </row>
    <row r="21" spans="1:22" ht="24.95" customHeight="1" x14ac:dyDescent="0.25">
      <c r="A21" s="94">
        <v>18</v>
      </c>
      <c r="B21" s="57">
        <v>216508</v>
      </c>
      <c r="C21" s="78" t="s">
        <v>1815</v>
      </c>
      <c r="D21" s="57" t="s">
        <v>391</v>
      </c>
      <c r="E21" s="57" t="s">
        <v>1796</v>
      </c>
      <c r="F21" s="99">
        <v>39155</v>
      </c>
      <c r="G21" s="100" t="s">
        <v>392</v>
      </c>
      <c r="H21" s="57"/>
      <c r="I21" s="101">
        <f>87+94+87</f>
        <v>268</v>
      </c>
      <c r="J21" s="57">
        <v>300</v>
      </c>
      <c r="K21" s="57">
        <f t="shared" si="0"/>
        <v>0.89333333333333331</v>
      </c>
      <c r="L21" s="101">
        <v>87</v>
      </c>
      <c r="M21" s="102">
        <v>100</v>
      </c>
      <c r="N21" s="103">
        <f t="shared" si="1"/>
        <v>0.87</v>
      </c>
      <c r="O21" s="103" t="s">
        <v>29</v>
      </c>
      <c r="P21" s="57">
        <v>397</v>
      </c>
      <c r="Q21" s="57">
        <v>720</v>
      </c>
      <c r="R21" s="103">
        <f t="shared" si="2"/>
        <v>0.55138888888888893</v>
      </c>
      <c r="S21" s="57">
        <v>450000</v>
      </c>
      <c r="T21" s="104">
        <v>45980</v>
      </c>
      <c r="U21" s="57">
        <v>4113109627</v>
      </c>
      <c r="V21" s="93"/>
    </row>
    <row r="22" spans="1:22" ht="24.95" customHeight="1" x14ac:dyDescent="0.25">
      <c r="A22" s="94">
        <v>19</v>
      </c>
      <c r="B22" s="57">
        <v>63545</v>
      </c>
      <c r="C22" s="58" t="s">
        <v>1816</v>
      </c>
      <c r="D22" s="100" t="s">
        <v>397</v>
      </c>
      <c r="E22" s="57" t="s">
        <v>1796</v>
      </c>
      <c r="F22" s="104">
        <v>39328</v>
      </c>
      <c r="G22" s="100" t="s">
        <v>392</v>
      </c>
      <c r="H22" s="57"/>
      <c r="I22" s="101">
        <f>85+91+90</f>
        <v>266</v>
      </c>
      <c r="J22" s="102">
        <v>300</v>
      </c>
      <c r="K22" s="103">
        <f t="shared" si="0"/>
        <v>0.88666666666666671</v>
      </c>
      <c r="L22" s="105">
        <v>85</v>
      </c>
      <c r="M22" s="103">
        <v>100</v>
      </c>
      <c r="N22" s="103">
        <f t="shared" si="1"/>
        <v>0.85</v>
      </c>
      <c r="O22" s="103" t="s">
        <v>29</v>
      </c>
      <c r="P22" s="57">
        <v>490</v>
      </c>
      <c r="Q22" s="57">
        <v>720</v>
      </c>
      <c r="R22" s="57">
        <f t="shared" si="2"/>
        <v>0.68055555555555558</v>
      </c>
      <c r="S22" s="57">
        <v>450000</v>
      </c>
      <c r="T22" s="104">
        <v>45889</v>
      </c>
      <c r="U22" s="57">
        <v>4101310176</v>
      </c>
      <c r="V22" s="93"/>
    </row>
    <row r="23" spans="1:22" ht="24.95" customHeight="1" x14ac:dyDescent="0.25">
      <c r="A23" s="94">
        <v>20</v>
      </c>
      <c r="B23" s="57">
        <v>183905</v>
      </c>
      <c r="C23" s="78" t="s">
        <v>1817</v>
      </c>
      <c r="D23" s="57" t="s">
        <v>391</v>
      </c>
      <c r="E23" s="57" t="s">
        <v>1796</v>
      </c>
      <c r="F23" s="79">
        <v>38676</v>
      </c>
      <c r="G23" s="100" t="s">
        <v>392</v>
      </c>
      <c r="H23" s="57"/>
      <c r="I23" s="101">
        <f>84+89+93</f>
        <v>266</v>
      </c>
      <c r="J23" s="57">
        <v>300</v>
      </c>
      <c r="K23" s="57">
        <f t="shared" si="0"/>
        <v>0.88666666666666671</v>
      </c>
      <c r="L23" s="101">
        <v>87</v>
      </c>
      <c r="M23" s="102">
        <v>100</v>
      </c>
      <c r="N23" s="103">
        <f t="shared" si="1"/>
        <v>0.87</v>
      </c>
      <c r="O23" s="103" t="s">
        <v>29</v>
      </c>
      <c r="P23" s="57">
        <v>414</v>
      </c>
      <c r="Q23" s="57">
        <v>720</v>
      </c>
      <c r="R23" s="103">
        <f t="shared" si="2"/>
        <v>0.57499999999999996</v>
      </c>
      <c r="S23" s="57">
        <v>450000</v>
      </c>
      <c r="T23" s="104">
        <v>45968</v>
      </c>
      <c r="U23" s="57">
        <v>4119102193</v>
      </c>
      <c r="V23" s="93"/>
    </row>
    <row r="24" spans="1:22" ht="24.95" customHeight="1" x14ac:dyDescent="0.25">
      <c r="A24" s="94">
        <v>21</v>
      </c>
      <c r="B24" s="57">
        <v>174331</v>
      </c>
      <c r="C24" s="58" t="s">
        <v>1818</v>
      </c>
      <c r="D24" s="100" t="s">
        <v>397</v>
      </c>
      <c r="E24" s="57" t="s">
        <v>1796</v>
      </c>
      <c r="F24" s="104">
        <v>39172</v>
      </c>
      <c r="G24" s="100" t="s">
        <v>1813</v>
      </c>
      <c r="H24" s="57"/>
      <c r="I24" s="101">
        <f>70+87+90</f>
        <v>247</v>
      </c>
      <c r="J24" s="102">
        <v>300</v>
      </c>
      <c r="K24" s="103">
        <f t="shared" si="0"/>
        <v>0.82333333333333336</v>
      </c>
      <c r="L24" s="105">
        <v>73</v>
      </c>
      <c r="M24" s="103">
        <v>100</v>
      </c>
      <c r="N24" s="103">
        <f t="shared" si="1"/>
        <v>0.73</v>
      </c>
      <c r="O24" s="103" t="s">
        <v>29</v>
      </c>
      <c r="P24" s="57">
        <v>419</v>
      </c>
      <c r="Q24" s="57">
        <v>720</v>
      </c>
      <c r="R24" s="57">
        <f t="shared" si="2"/>
        <v>0.58194444444444449</v>
      </c>
      <c r="S24" s="57" t="s">
        <v>1814</v>
      </c>
      <c r="T24" s="104">
        <v>45873</v>
      </c>
      <c r="U24" s="57">
        <v>4120110055</v>
      </c>
      <c r="V24" s="93"/>
    </row>
    <row r="25" spans="1:22" ht="24.95" customHeight="1" x14ac:dyDescent="0.25">
      <c r="A25" s="94">
        <v>22</v>
      </c>
      <c r="B25" s="57">
        <v>807653</v>
      </c>
      <c r="C25" s="78" t="s">
        <v>1819</v>
      </c>
      <c r="D25" s="57" t="s">
        <v>391</v>
      </c>
      <c r="E25" s="57" t="s">
        <v>1796</v>
      </c>
      <c r="F25" s="79">
        <v>38701</v>
      </c>
      <c r="G25" s="100" t="s">
        <v>417</v>
      </c>
      <c r="H25" s="57"/>
      <c r="I25" s="101">
        <f>64+64+72</f>
        <v>200</v>
      </c>
      <c r="J25" s="57">
        <v>300</v>
      </c>
      <c r="K25" s="57">
        <f t="shared" si="0"/>
        <v>0.66666666666666663</v>
      </c>
      <c r="L25" s="101">
        <v>85</v>
      </c>
      <c r="M25" s="102">
        <v>100</v>
      </c>
      <c r="N25" s="103">
        <f t="shared" si="1"/>
        <v>0.85</v>
      </c>
      <c r="O25" s="103" t="s">
        <v>29</v>
      </c>
      <c r="P25" s="57">
        <v>198</v>
      </c>
      <c r="Q25" s="57">
        <v>720</v>
      </c>
      <c r="R25" s="103">
        <f t="shared" si="2"/>
        <v>0.27500000000000002</v>
      </c>
      <c r="S25" s="57">
        <v>1500000</v>
      </c>
      <c r="T25" s="104">
        <v>45966</v>
      </c>
      <c r="U25" s="57">
        <v>4101311006</v>
      </c>
      <c r="V25" s="93"/>
    </row>
    <row r="26" spans="1:22" ht="24.95" customHeight="1" x14ac:dyDescent="0.25">
      <c r="A26" s="94">
        <v>23</v>
      </c>
      <c r="B26" s="57">
        <v>61787</v>
      </c>
      <c r="C26" s="58" t="s">
        <v>1820</v>
      </c>
      <c r="D26" s="100" t="s">
        <v>397</v>
      </c>
      <c r="E26" s="57" t="s">
        <v>1796</v>
      </c>
      <c r="F26" s="104">
        <v>38787</v>
      </c>
      <c r="G26" s="100" t="s">
        <v>392</v>
      </c>
      <c r="H26" s="57"/>
      <c r="I26" s="101">
        <f>83+85+89</f>
        <v>257</v>
      </c>
      <c r="J26" s="102">
        <v>300</v>
      </c>
      <c r="K26" s="103">
        <f t="shared" si="0"/>
        <v>0.85666666666666669</v>
      </c>
      <c r="L26" s="105">
        <v>88</v>
      </c>
      <c r="M26" s="103">
        <v>100</v>
      </c>
      <c r="N26" s="103">
        <f t="shared" si="1"/>
        <v>0.88</v>
      </c>
      <c r="O26" s="103" t="s">
        <v>29</v>
      </c>
      <c r="P26" s="57">
        <v>492</v>
      </c>
      <c r="Q26" s="57">
        <v>720</v>
      </c>
      <c r="R26" s="57">
        <f t="shared" si="2"/>
        <v>0.68333333333333335</v>
      </c>
      <c r="S26" s="57">
        <v>450000</v>
      </c>
      <c r="T26" s="104">
        <v>45890</v>
      </c>
      <c r="U26" s="57">
        <v>4108109178</v>
      </c>
      <c r="V26" s="93"/>
    </row>
    <row r="27" spans="1:22" ht="24.95" customHeight="1" x14ac:dyDescent="0.25">
      <c r="A27" s="94">
        <v>24</v>
      </c>
      <c r="B27" s="106">
        <v>746739</v>
      </c>
      <c r="C27" s="58" t="s">
        <v>1821</v>
      </c>
      <c r="D27" s="100" t="s">
        <v>391</v>
      </c>
      <c r="E27" s="57" t="s">
        <v>1796</v>
      </c>
      <c r="F27" s="104">
        <v>39325</v>
      </c>
      <c r="G27" s="100" t="s">
        <v>417</v>
      </c>
      <c r="H27" s="57"/>
      <c r="I27" s="101">
        <f>64+65+78</f>
        <v>207</v>
      </c>
      <c r="J27" s="102">
        <v>300</v>
      </c>
      <c r="K27" s="103">
        <f t="shared" si="0"/>
        <v>0.69</v>
      </c>
      <c r="L27" s="105">
        <v>85</v>
      </c>
      <c r="M27" s="103">
        <v>100</v>
      </c>
      <c r="N27" s="103">
        <f t="shared" si="1"/>
        <v>0.85</v>
      </c>
      <c r="O27" s="103" t="s">
        <v>29</v>
      </c>
      <c r="P27" s="57">
        <v>212</v>
      </c>
      <c r="Q27" s="57">
        <v>720</v>
      </c>
      <c r="R27" s="57">
        <f t="shared" si="2"/>
        <v>0.29444444444444445</v>
      </c>
      <c r="S27" s="57">
        <v>1500000</v>
      </c>
      <c r="T27" s="104">
        <v>45967</v>
      </c>
      <c r="U27" s="57">
        <v>4102105131</v>
      </c>
      <c r="V27" s="93"/>
    </row>
    <row r="28" spans="1:22" ht="24.95" customHeight="1" x14ac:dyDescent="0.25">
      <c r="A28" s="94">
        <v>25</v>
      </c>
      <c r="B28" s="57">
        <v>419958</v>
      </c>
      <c r="C28" s="58" t="s">
        <v>1822</v>
      </c>
      <c r="D28" s="100" t="s">
        <v>397</v>
      </c>
      <c r="E28" s="57" t="s">
        <v>1796</v>
      </c>
      <c r="F28" s="104">
        <v>39236</v>
      </c>
      <c r="G28" s="100" t="s">
        <v>417</v>
      </c>
      <c r="H28" s="57"/>
      <c r="I28" s="101">
        <f>62+53+56</f>
        <v>171</v>
      </c>
      <c r="J28" s="102">
        <v>300</v>
      </c>
      <c r="K28" s="103">
        <f t="shared" si="0"/>
        <v>0.56999999999999995</v>
      </c>
      <c r="L28" s="105">
        <v>86</v>
      </c>
      <c r="M28" s="103">
        <v>100</v>
      </c>
      <c r="N28" s="103">
        <f t="shared" si="1"/>
        <v>0.86</v>
      </c>
      <c r="O28" s="103" t="s">
        <v>29</v>
      </c>
      <c r="P28" s="57">
        <v>308</v>
      </c>
      <c r="Q28" s="57">
        <v>720</v>
      </c>
      <c r="R28" s="57">
        <f t="shared" si="2"/>
        <v>0.42777777777777776</v>
      </c>
      <c r="S28" s="57">
        <v>1500000</v>
      </c>
      <c r="T28" s="104">
        <v>45891</v>
      </c>
      <c r="U28" s="57">
        <v>4109117099</v>
      </c>
      <c r="V28" s="93"/>
    </row>
    <row r="29" spans="1:22" ht="24.95" customHeight="1" x14ac:dyDescent="0.25">
      <c r="A29" s="94">
        <v>26</v>
      </c>
      <c r="B29" s="57">
        <v>74339</v>
      </c>
      <c r="C29" s="58" t="s">
        <v>1823</v>
      </c>
      <c r="D29" s="100" t="s">
        <v>391</v>
      </c>
      <c r="E29" s="57" t="s">
        <v>1796</v>
      </c>
      <c r="F29" s="104">
        <v>36910</v>
      </c>
      <c r="G29" s="100" t="s">
        <v>392</v>
      </c>
      <c r="H29" s="57"/>
      <c r="I29" s="101">
        <f>81+90+79</f>
        <v>250</v>
      </c>
      <c r="J29" s="102">
        <v>300</v>
      </c>
      <c r="K29" s="103">
        <f t="shared" si="0"/>
        <v>0.83333333333333337</v>
      </c>
      <c r="L29" s="105">
        <v>93</v>
      </c>
      <c r="M29" s="103">
        <v>100</v>
      </c>
      <c r="N29" s="103">
        <f t="shared" si="1"/>
        <v>0.93</v>
      </c>
      <c r="O29" s="103" t="s">
        <v>29</v>
      </c>
      <c r="P29" s="57">
        <v>482</v>
      </c>
      <c r="Q29" s="57">
        <v>720</v>
      </c>
      <c r="R29" s="57">
        <f t="shared" si="2"/>
        <v>0.6694444444444444</v>
      </c>
      <c r="S29" s="57">
        <v>450000</v>
      </c>
      <c r="T29" s="104">
        <v>45891</v>
      </c>
      <c r="U29" s="57">
        <v>4108106084</v>
      </c>
      <c r="V29" s="93"/>
    </row>
    <row r="30" spans="1:22" ht="24.95" customHeight="1" x14ac:dyDescent="0.25">
      <c r="A30" s="94">
        <v>27</v>
      </c>
      <c r="B30" s="57">
        <v>73913</v>
      </c>
      <c r="C30" s="58" t="s">
        <v>1824</v>
      </c>
      <c r="D30" s="100" t="s">
        <v>397</v>
      </c>
      <c r="E30" s="57" t="s">
        <v>1796</v>
      </c>
      <c r="F30" s="104">
        <v>39135</v>
      </c>
      <c r="G30" s="100" t="s">
        <v>392</v>
      </c>
      <c r="H30" s="57"/>
      <c r="I30" s="101">
        <f>86+91+76</f>
        <v>253</v>
      </c>
      <c r="J30" s="102">
        <v>300</v>
      </c>
      <c r="K30" s="103">
        <f t="shared" si="0"/>
        <v>0.84333333333333338</v>
      </c>
      <c r="L30" s="105">
        <v>89</v>
      </c>
      <c r="M30" s="103">
        <v>100</v>
      </c>
      <c r="N30" s="103">
        <f t="shared" si="1"/>
        <v>0.89</v>
      </c>
      <c r="O30" s="103" t="s">
        <v>29</v>
      </c>
      <c r="P30" s="57">
        <v>482</v>
      </c>
      <c r="Q30" s="57">
        <v>720</v>
      </c>
      <c r="R30" s="57">
        <f t="shared" si="2"/>
        <v>0.6694444444444444</v>
      </c>
      <c r="S30" s="57">
        <v>450000</v>
      </c>
      <c r="T30" s="104">
        <v>45889</v>
      </c>
      <c r="U30" s="57">
        <v>4131105336</v>
      </c>
      <c r="V30" s="93"/>
    </row>
    <row r="31" spans="1:22" ht="24.95" customHeight="1" x14ac:dyDescent="0.25">
      <c r="A31" s="94">
        <v>28</v>
      </c>
      <c r="B31" s="57">
        <v>77003</v>
      </c>
      <c r="C31" s="78" t="s">
        <v>1825</v>
      </c>
      <c r="D31" s="57" t="s">
        <v>391</v>
      </c>
      <c r="E31" s="57" t="s">
        <v>1796</v>
      </c>
      <c r="F31" s="79">
        <v>38751</v>
      </c>
      <c r="G31" s="100" t="s">
        <v>392</v>
      </c>
      <c r="H31" s="57"/>
      <c r="I31" s="101">
        <f>79+95+85</f>
        <v>259</v>
      </c>
      <c r="J31" s="57">
        <v>300</v>
      </c>
      <c r="K31" s="57">
        <f t="shared" si="0"/>
        <v>0.86333333333333329</v>
      </c>
      <c r="L31" s="101">
        <v>82</v>
      </c>
      <c r="M31" s="102">
        <v>100</v>
      </c>
      <c r="N31" s="103">
        <f t="shared" si="1"/>
        <v>0.82</v>
      </c>
      <c r="O31" s="103" t="s">
        <v>29</v>
      </c>
      <c r="P31" s="57">
        <v>480</v>
      </c>
      <c r="Q31" s="57">
        <v>720</v>
      </c>
      <c r="R31" s="103">
        <f t="shared" si="2"/>
        <v>0.66666666666666663</v>
      </c>
      <c r="S31" s="57">
        <v>450000</v>
      </c>
      <c r="T31" s="104">
        <v>45966</v>
      </c>
      <c r="U31" s="57">
        <v>4129102415</v>
      </c>
      <c r="V31" s="93"/>
    </row>
    <row r="32" spans="1:22" ht="24.95" customHeight="1" x14ac:dyDescent="0.25">
      <c r="A32" s="94">
        <v>29</v>
      </c>
      <c r="B32" s="106">
        <v>270978</v>
      </c>
      <c r="C32" s="78" t="s">
        <v>1826</v>
      </c>
      <c r="D32" s="57" t="s">
        <v>391</v>
      </c>
      <c r="E32" s="57" t="s">
        <v>1796</v>
      </c>
      <c r="F32" s="79">
        <v>39235</v>
      </c>
      <c r="G32" s="100" t="s">
        <v>417</v>
      </c>
      <c r="H32" s="57"/>
      <c r="I32" s="101">
        <f>67+90+89</f>
        <v>246</v>
      </c>
      <c r="J32" s="57">
        <v>300</v>
      </c>
      <c r="K32" s="57">
        <f t="shared" si="0"/>
        <v>0.82</v>
      </c>
      <c r="L32" s="101">
        <v>94</v>
      </c>
      <c r="M32" s="102">
        <v>100</v>
      </c>
      <c r="N32" s="103">
        <f t="shared" si="1"/>
        <v>0.94</v>
      </c>
      <c r="O32" s="103" t="s">
        <v>29</v>
      </c>
      <c r="P32" s="57">
        <v>370</v>
      </c>
      <c r="Q32" s="57">
        <v>720</v>
      </c>
      <c r="R32" s="103">
        <f t="shared" si="2"/>
        <v>0.51388888888888884</v>
      </c>
      <c r="S32" s="57">
        <v>1500000</v>
      </c>
      <c r="T32" s="104">
        <v>45967</v>
      </c>
      <c r="U32" s="57">
        <v>4108109040</v>
      </c>
      <c r="V32" s="93"/>
    </row>
    <row r="33" spans="1:22" ht="24.95" customHeight="1" x14ac:dyDescent="0.25">
      <c r="A33" s="94">
        <v>30</v>
      </c>
      <c r="B33" s="57">
        <v>257490</v>
      </c>
      <c r="C33" s="58" t="s">
        <v>1827</v>
      </c>
      <c r="D33" s="100" t="s">
        <v>391</v>
      </c>
      <c r="E33" s="57" t="s">
        <v>1796</v>
      </c>
      <c r="F33" s="104">
        <v>38882</v>
      </c>
      <c r="G33" s="100" t="s">
        <v>392</v>
      </c>
      <c r="H33" s="57"/>
      <c r="I33" s="101">
        <f>92+87+85</f>
        <v>264</v>
      </c>
      <c r="J33" s="102">
        <v>300</v>
      </c>
      <c r="K33" s="103">
        <f t="shared" si="0"/>
        <v>0.88</v>
      </c>
      <c r="L33" s="105">
        <v>73</v>
      </c>
      <c r="M33" s="103">
        <v>100</v>
      </c>
      <c r="N33" s="103">
        <f t="shared" si="1"/>
        <v>0.73</v>
      </c>
      <c r="O33" s="103" t="s">
        <v>29</v>
      </c>
      <c r="P33" s="57">
        <v>377</v>
      </c>
      <c r="Q33" s="57">
        <v>720</v>
      </c>
      <c r="R33" s="57">
        <f t="shared" si="2"/>
        <v>0.52361111111111114</v>
      </c>
      <c r="S33" s="57">
        <v>450000</v>
      </c>
      <c r="T33" s="104">
        <v>45929</v>
      </c>
      <c r="U33" s="57">
        <v>4109115223</v>
      </c>
      <c r="V33" s="93"/>
    </row>
    <row r="34" spans="1:22" ht="24.95" customHeight="1" x14ac:dyDescent="0.25">
      <c r="A34" s="94">
        <v>31</v>
      </c>
      <c r="B34" s="57">
        <v>919338</v>
      </c>
      <c r="C34" s="78" t="s">
        <v>1828</v>
      </c>
      <c r="D34" s="57" t="s">
        <v>391</v>
      </c>
      <c r="E34" s="57" t="s">
        <v>1796</v>
      </c>
      <c r="F34" s="79">
        <v>39610</v>
      </c>
      <c r="G34" s="100" t="s">
        <v>417</v>
      </c>
      <c r="H34" s="57"/>
      <c r="I34" s="101">
        <f>76+59+88</f>
        <v>223</v>
      </c>
      <c r="J34" s="57">
        <v>300</v>
      </c>
      <c r="K34" s="57">
        <f t="shared" si="0"/>
        <v>0.74333333333333329</v>
      </c>
      <c r="L34" s="101">
        <v>93</v>
      </c>
      <c r="M34" s="102">
        <v>100</v>
      </c>
      <c r="N34" s="103">
        <f t="shared" si="1"/>
        <v>0.93</v>
      </c>
      <c r="O34" s="103" t="s">
        <v>29</v>
      </c>
      <c r="P34" s="57">
        <v>175</v>
      </c>
      <c r="Q34" s="57">
        <v>720</v>
      </c>
      <c r="R34" s="103">
        <f t="shared" si="2"/>
        <v>0.24305555555555555</v>
      </c>
      <c r="S34" s="57">
        <v>1500000</v>
      </c>
      <c r="T34" s="104">
        <v>45966</v>
      </c>
      <c r="U34" s="57">
        <v>4101301235</v>
      </c>
      <c r="V34" s="93"/>
    </row>
    <row r="35" spans="1:22" ht="24.95" customHeight="1" x14ac:dyDescent="0.25">
      <c r="A35" s="94">
        <v>32</v>
      </c>
      <c r="B35" s="57">
        <v>269394</v>
      </c>
      <c r="C35" s="58" t="s">
        <v>1829</v>
      </c>
      <c r="D35" s="100" t="s">
        <v>391</v>
      </c>
      <c r="E35" s="57" t="s">
        <v>1796</v>
      </c>
      <c r="F35" s="104">
        <v>38793</v>
      </c>
      <c r="G35" s="100" t="s">
        <v>417</v>
      </c>
      <c r="H35" s="57"/>
      <c r="I35" s="101">
        <f>82+75+88</f>
        <v>245</v>
      </c>
      <c r="J35" s="102">
        <v>300</v>
      </c>
      <c r="K35" s="103">
        <f t="shared" si="0"/>
        <v>0.81666666666666665</v>
      </c>
      <c r="L35" s="105">
        <v>94</v>
      </c>
      <c r="M35" s="103">
        <v>100</v>
      </c>
      <c r="N35" s="103">
        <f t="shared" si="1"/>
        <v>0.94</v>
      </c>
      <c r="O35" s="103" t="s">
        <v>29</v>
      </c>
      <c r="P35" s="57">
        <v>371</v>
      </c>
      <c r="Q35" s="57">
        <v>720</v>
      </c>
      <c r="R35" s="57">
        <f t="shared" si="2"/>
        <v>0.51527777777777772</v>
      </c>
      <c r="S35" s="57">
        <v>1500000</v>
      </c>
      <c r="T35" s="104">
        <v>45967</v>
      </c>
      <c r="U35" s="57">
        <v>4103105667</v>
      </c>
      <c r="V35" s="93"/>
    </row>
    <row r="36" spans="1:22" ht="24.95" customHeight="1" x14ac:dyDescent="0.25">
      <c r="A36" s="94">
        <v>33</v>
      </c>
      <c r="B36" s="57">
        <v>64478</v>
      </c>
      <c r="C36" s="58" t="s">
        <v>1830</v>
      </c>
      <c r="D36" s="100" t="s">
        <v>391</v>
      </c>
      <c r="E36" s="57" t="s">
        <v>1796</v>
      </c>
      <c r="F36" s="104">
        <v>38812</v>
      </c>
      <c r="G36" s="100" t="s">
        <v>392</v>
      </c>
      <c r="H36" s="57"/>
      <c r="I36" s="101">
        <f>95+91+93</f>
        <v>279</v>
      </c>
      <c r="J36" s="102">
        <v>300</v>
      </c>
      <c r="K36" s="103">
        <f t="shared" si="0"/>
        <v>0.93</v>
      </c>
      <c r="L36" s="105">
        <v>95</v>
      </c>
      <c r="M36" s="103">
        <v>100</v>
      </c>
      <c r="N36" s="103">
        <f t="shared" si="1"/>
        <v>0.95</v>
      </c>
      <c r="O36" s="103" t="s">
        <v>29</v>
      </c>
      <c r="P36" s="57">
        <v>490</v>
      </c>
      <c r="Q36" s="57">
        <v>720</v>
      </c>
      <c r="R36" s="57">
        <f t="shared" si="2"/>
        <v>0.68055555555555558</v>
      </c>
      <c r="S36" s="57">
        <v>450000</v>
      </c>
      <c r="T36" s="104">
        <v>45891</v>
      </c>
      <c r="U36" s="57">
        <v>4118102038</v>
      </c>
      <c r="V36" s="93"/>
    </row>
    <row r="37" spans="1:22" ht="24.95" customHeight="1" x14ac:dyDescent="0.25">
      <c r="A37" s="94">
        <v>34</v>
      </c>
      <c r="B37" s="57">
        <v>187014</v>
      </c>
      <c r="C37" s="58" t="s">
        <v>1831</v>
      </c>
      <c r="D37" s="100" t="s">
        <v>391</v>
      </c>
      <c r="E37" s="57" t="s">
        <v>1796</v>
      </c>
      <c r="F37" s="104">
        <v>38331</v>
      </c>
      <c r="G37" s="100" t="s">
        <v>392</v>
      </c>
      <c r="H37" s="57"/>
      <c r="I37" s="101">
        <f>74+66+91</f>
        <v>231</v>
      </c>
      <c r="J37" s="102">
        <v>300</v>
      </c>
      <c r="K37" s="103">
        <f t="shared" si="0"/>
        <v>0.77</v>
      </c>
      <c r="L37" s="105">
        <v>89</v>
      </c>
      <c r="M37" s="103">
        <v>100</v>
      </c>
      <c r="N37" s="103">
        <f t="shared" si="1"/>
        <v>0.89</v>
      </c>
      <c r="O37" s="103" t="s">
        <v>29</v>
      </c>
      <c r="P37" s="57">
        <v>412</v>
      </c>
      <c r="Q37" s="57">
        <v>720</v>
      </c>
      <c r="R37" s="57">
        <f t="shared" si="2"/>
        <v>0.57222222222222219</v>
      </c>
      <c r="S37" s="57">
        <v>450000</v>
      </c>
      <c r="T37" s="104">
        <v>45967</v>
      </c>
      <c r="U37" s="57">
        <v>4120104106</v>
      </c>
      <c r="V37" s="93"/>
    </row>
    <row r="38" spans="1:22" ht="24.95" customHeight="1" x14ac:dyDescent="0.25">
      <c r="A38" s="94">
        <v>35</v>
      </c>
      <c r="B38" s="57">
        <v>73791</v>
      </c>
      <c r="C38" s="58" t="s">
        <v>1832</v>
      </c>
      <c r="D38" s="100" t="s">
        <v>397</v>
      </c>
      <c r="E38" s="57" t="s">
        <v>1796</v>
      </c>
      <c r="F38" s="104">
        <v>39133</v>
      </c>
      <c r="G38" s="100" t="s">
        <v>417</v>
      </c>
      <c r="H38" s="57"/>
      <c r="I38" s="101">
        <f>88+82+86</f>
        <v>256</v>
      </c>
      <c r="J38" s="102">
        <v>300</v>
      </c>
      <c r="K38" s="103">
        <f t="shared" si="0"/>
        <v>0.85333333333333339</v>
      </c>
      <c r="L38" s="105">
        <v>76</v>
      </c>
      <c r="M38" s="103">
        <v>100</v>
      </c>
      <c r="N38" s="103">
        <f t="shared" si="1"/>
        <v>0.76</v>
      </c>
      <c r="O38" s="103" t="s">
        <v>29</v>
      </c>
      <c r="P38" s="57">
        <v>483</v>
      </c>
      <c r="Q38" s="57">
        <v>720</v>
      </c>
      <c r="R38" s="57">
        <f t="shared" si="2"/>
        <v>0.67083333333333328</v>
      </c>
      <c r="S38" s="57">
        <v>450000</v>
      </c>
      <c r="T38" s="104">
        <v>45891</v>
      </c>
      <c r="U38" s="57">
        <v>4121111250</v>
      </c>
      <c r="V38" s="93"/>
    </row>
    <row r="39" spans="1:22" ht="24.95" customHeight="1" x14ac:dyDescent="0.25">
      <c r="A39" s="94">
        <v>36</v>
      </c>
      <c r="B39" s="57"/>
      <c r="C39" s="58" t="s">
        <v>1833</v>
      </c>
      <c r="D39" s="100" t="s">
        <v>391</v>
      </c>
      <c r="E39" s="57" t="s">
        <v>1796</v>
      </c>
      <c r="F39" s="104">
        <v>38963</v>
      </c>
      <c r="G39" s="100" t="s">
        <v>392</v>
      </c>
      <c r="H39" s="57"/>
      <c r="I39" s="101">
        <f>95+90+86</f>
        <v>271</v>
      </c>
      <c r="J39" s="102">
        <v>300</v>
      </c>
      <c r="K39" s="103">
        <f t="shared" si="0"/>
        <v>0.90333333333333332</v>
      </c>
      <c r="L39" s="105">
        <v>83</v>
      </c>
      <c r="M39" s="103">
        <v>100</v>
      </c>
      <c r="N39" s="103">
        <f t="shared" si="1"/>
        <v>0.83</v>
      </c>
      <c r="O39" s="103" t="s">
        <v>29</v>
      </c>
      <c r="P39" s="57">
        <v>378</v>
      </c>
      <c r="Q39" s="57">
        <v>720</v>
      </c>
      <c r="R39" s="57">
        <f t="shared" si="2"/>
        <v>0.52500000000000002</v>
      </c>
      <c r="S39" s="57">
        <v>450000</v>
      </c>
      <c r="T39" s="104">
        <v>45891</v>
      </c>
      <c r="U39" s="57">
        <v>4114106393</v>
      </c>
      <c r="V39" s="93"/>
    </row>
    <row r="40" spans="1:22" ht="24.95" customHeight="1" x14ac:dyDescent="0.25">
      <c r="A40" s="94">
        <v>37</v>
      </c>
      <c r="B40" s="57">
        <v>77329</v>
      </c>
      <c r="C40" s="78" t="s">
        <v>1834</v>
      </c>
      <c r="D40" s="57" t="s">
        <v>391</v>
      </c>
      <c r="E40" s="57" t="s">
        <v>1796</v>
      </c>
      <c r="F40" s="79">
        <v>38991</v>
      </c>
      <c r="G40" s="100" t="s">
        <v>392</v>
      </c>
      <c r="H40" s="57"/>
      <c r="I40" s="101">
        <f>87+95+97</f>
        <v>279</v>
      </c>
      <c r="J40" s="57">
        <v>300</v>
      </c>
      <c r="K40" s="57">
        <f t="shared" si="0"/>
        <v>0.93</v>
      </c>
      <c r="L40" s="101">
        <v>88</v>
      </c>
      <c r="M40" s="102">
        <v>100</v>
      </c>
      <c r="N40" s="103">
        <f t="shared" si="1"/>
        <v>0.88</v>
      </c>
      <c r="O40" s="103" t="s">
        <v>29</v>
      </c>
      <c r="P40" s="57">
        <v>480</v>
      </c>
      <c r="Q40" s="57">
        <v>720</v>
      </c>
      <c r="R40" s="103">
        <f t="shared" si="2"/>
        <v>0.66666666666666663</v>
      </c>
      <c r="S40" s="57">
        <v>450000</v>
      </c>
      <c r="T40" s="104">
        <v>45966</v>
      </c>
      <c r="U40" s="57">
        <v>4108113174</v>
      </c>
      <c r="V40" s="93"/>
    </row>
    <row r="41" spans="1:22" ht="24.95" customHeight="1" x14ac:dyDescent="0.25">
      <c r="A41" s="94">
        <v>38</v>
      </c>
      <c r="B41" s="57">
        <v>80703</v>
      </c>
      <c r="C41" s="78" t="s">
        <v>1835</v>
      </c>
      <c r="D41" s="57" t="s">
        <v>397</v>
      </c>
      <c r="E41" s="57" t="s">
        <v>1796</v>
      </c>
      <c r="F41" s="99">
        <v>38413</v>
      </c>
      <c r="G41" s="100" t="s">
        <v>392</v>
      </c>
      <c r="H41" s="57"/>
      <c r="I41" s="101">
        <f>91+92+97</f>
        <v>280</v>
      </c>
      <c r="J41" s="57">
        <v>300</v>
      </c>
      <c r="K41" s="57">
        <f t="shared" si="0"/>
        <v>0.93333333333333335</v>
      </c>
      <c r="L41" s="101">
        <v>88</v>
      </c>
      <c r="M41" s="102">
        <v>100</v>
      </c>
      <c r="N41" s="103">
        <f t="shared" si="1"/>
        <v>0.88</v>
      </c>
      <c r="O41" s="103" t="s">
        <v>29</v>
      </c>
      <c r="P41" s="57">
        <v>478</v>
      </c>
      <c r="Q41" s="57">
        <v>720</v>
      </c>
      <c r="R41" s="103">
        <f t="shared" si="2"/>
        <v>0.66388888888888886</v>
      </c>
      <c r="S41" s="57">
        <v>450000</v>
      </c>
      <c r="T41" s="104">
        <v>45968</v>
      </c>
      <c r="U41" s="57">
        <v>4129102321</v>
      </c>
      <c r="V41" s="93"/>
    </row>
    <row r="42" spans="1:22" ht="24.95" customHeight="1" x14ac:dyDescent="0.25">
      <c r="A42" s="94">
        <v>39</v>
      </c>
      <c r="B42" s="57">
        <v>169156</v>
      </c>
      <c r="C42" s="58" t="s">
        <v>1836</v>
      </c>
      <c r="D42" s="100" t="s">
        <v>397</v>
      </c>
      <c r="E42" s="57" t="s">
        <v>1796</v>
      </c>
      <c r="F42" s="104">
        <v>39460</v>
      </c>
      <c r="G42" s="100" t="s">
        <v>392</v>
      </c>
      <c r="H42" s="57"/>
      <c r="I42" s="101">
        <f>84+93+95</f>
        <v>272</v>
      </c>
      <c r="J42" s="102">
        <v>300</v>
      </c>
      <c r="K42" s="103">
        <f t="shared" si="0"/>
        <v>0.90666666666666662</v>
      </c>
      <c r="L42" s="105">
        <v>89</v>
      </c>
      <c r="M42" s="103">
        <v>100</v>
      </c>
      <c r="N42" s="103">
        <f t="shared" si="1"/>
        <v>0.89</v>
      </c>
      <c r="O42" s="103" t="s">
        <v>29</v>
      </c>
      <c r="P42" s="57">
        <v>422</v>
      </c>
      <c r="Q42" s="57">
        <v>720</v>
      </c>
      <c r="R42" s="57">
        <f t="shared" si="2"/>
        <v>0.58611111111111114</v>
      </c>
      <c r="S42" s="57">
        <v>450000</v>
      </c>
      <c r="T42" s="104">
        <v>45890</v>
      </c>
      <c r="U42" s="57">
        <v>4113102071</v>
      </c>
      <c r="V42" s="93"/>
    </row>
    <row r="43" spans="1:22" ht="24.95" customHeight="1" x14ac:dyDescent="0.25">
      <c r="A43" s="94">
        <v>40</v>
      </c>
      <c r="B43" s="57">
        <v>901790</v>
      </c>
      <c r="C43" s="78" t="s">
        <v>1837</v>
      </c>
      <c r="D43" s="57" t="s">
        <v>397</v>
      </c>
      <c r="E43" s="57" t="s">
        <v>1796</v>
      </c>
      <c r="F43" s="79">
        <v>39505</v>
      </c>
      <c r="G43" s="100" t="s">
        <v>417</v>
      </c>
      <c r="H43" s="57"/>
      <c r="I43" s="101">
        <f>71+58+50</f>
        <v>179</v>
      </c>
      <c r="J43" s="57">
        <v>300</v>
      </c>
      <c r="K43" s="57">
        <f t="shared" si="0"/>
        <v>0.59666666666666668</v>
      </c>
      <c r="L43" s="101">
        <v>85</v>
      </c>
      <c r="M43" s="102">
        <v>100</v>
      </c>
      <c r="N43" s="103">
        <f t="shared" si="1"/>
        <v>0.85</v>
      </c>
      <c r="O43" s="103" t="s">
        <v>29</v>
      </c>
      <c r="P43" s="57">
        <v>179</v>
      </c>
      <c r="Q43" s="57">
        <v>720</v>
      </c>
      <c r="R43" s="103">
        <f t="shared" si="2"/>
        <v>0.24861111111111112</v>
      </c>
      <c r="S43" s="57">
        <v>1500000</v>
      </c>
      <c r="T43" s="104">
        <v>45968</v>
      </c>
      <c r="U43" s="57">
        <v>4102104225</v>
      </c>
      <c r="V43" s="93"/>
    </row>
    <row r="44" spans="1:22" ht="24.95" customHeight="1" x14ac:dyDescent="0.25">
      <c r="A44" s="94">
        <v>41</v>
      </c>
      <c r="B44" s="57">
        <v>172360</v>
      </c>
      <c r="C44" s="58" t="s">
        <v>1838</v>
      </c>
      <c r="D44" s="100" t="s">
        <v>391</v>
      </c>
      <c r="E44" s="57" t="s">
        <v>1796</v>
      </c>
      <c r="F44" s="104">
        <v>38355</v>
      </c>
      <c r="G44" s="100" t="s">
        <v>1813</v>
      </c>
      <c r="H44" s="57"/>
      <c r="I44" s="101">
        <f>80+89+87</f>
        <v>256</v>
      </c>
      <c r="J44" s="102">
        <v>300</v>
      </c>
      <c r="K44" s="103">
        <f t="shared" si="0"/>
        <v>0.85333333333333339</v>
      </c>
      <c r="L44" s="105">
        <v>91</v>
      </c>
      <c r="M44" s="103">
        <v>100</v>
      </c>
      <c r="N44" s="103">
        <f t="shared" si="1"/>
        <v>0.91</v>
      </c>
      <c r="O44" s="103" t="s">
        <v>29</v>
      </c>
      <c r="P44" s="57">
        <v>420</v>
      </c>
      <c r="Q44" s="57">
        <v>720</v>
      </c>
      <c r="R44" s="57">
        <f t="shared" si="2"/>
        <v>0.58333333333333337</v>
      </c>
      <c r="S44" s="57" t="s">
        <v>1814</v>
      </c>
      <c r="T44" s="104">
        <v>45873</v>
      </c>
      <c r="U44" s="57">
        <v>4105104011</v>
      </c>
      <c r="V44" s="93"/>
    </row>
    <row r="45" spans="1:22" ht="24.95" customHeight="1" x14ac:dyDescent="0.25">
      <c r="A45" s="94">
        <v>42</v>
      </c>
      <c r="B45" s="57">
        <v>73615</v>
      </c>
      <c r="C45" s="58" t="s">
        <v>1839</v>
      </c>
      <c r="D45" s="100" t="s">
        <v>397</v>
      </c>
      <c r="E45" s="57" t="s">
        <v>1796</v>
      </c>
      <c r="F45" s="104">
        <v>38280</v>
      </c>
      <c r="G45" s="100" t="s">
        <v>392</v>
      </c>
      <c r="H45" s="57"/>
      <c r="I45" s="101">
        <f>81+84+79</f>
        <v>244</v>
      </c>
      <c r="J45" s="102">
        <v>300</v>
      </c>
      <c r="K45" s="103">
        <f t="shared" si="0"/>
        <v>0.81333333333333335</v>
      </c>
      <c r="L45" s="105">
        <v>82</v>
      </c>
      <c r="M45" s="103">
        <v>100</v>
      </c>
      <c r="N45" s="103">
        <f t="shared" si="1"/>
        <v>0.82</v>
      </c>
      <c r="O45" s="103" t="s">
        <v>29</v>
      </c>
      <c r="P45" s="57">
        <v>483</v>
      </c>
      <c r="Q45" s="57">
        <v>720</v>
      </c>
      <c r="R45" s="57">
        <f t="shared" si="2"/>
        <v>0.67083333333333328</v>
      </c>
      <c r="S45" s="57">
        <v>450000</v>
      </c>
      <c r="T45" s="104">
        <v>45891</v>
      </c>
      <c r="U45" s="57">
        <v>4113106452</v>
      </c>
      <c r="V45" s="93"/>
    </row>
    <row r="46" spans="1:22" ht="24.95" customHeight="1" x14ac:dyDescent="0.25">
      <c r="A46" s="94">
        <v>43</v>
      </c>
      <c r="B46" s="57">
        <v>501188</v>
      </c>
      <c r="C46" s="58" t="s">
        <v>1840</v>
      </c>
      <c r="D46" s="100" t="s">
        <v>397</v>
      </c>
      <c r="E46" s="57" t="s">
        <v>1796</v>
      </c>
      <c r="F46" s="104">
        <v>38733</v>
      </c>
      <c r="G46" s="100" t="s">
        <v>417</v>
      </c>
      <c r="H46" s="57"/>
      <c r="I46" s="101">
        <f>62+60+66</f>
        <v>188</v>
      </c>
      <c r="J46" s="102">
        <v>300</v>
      </c>
      <c r="K46" s="103">
        <f t="shared" si="0"/>
        <v>0.62666666666666671</v>
      </c>
      <c r="L46" s="105">
        <v>70</v>
      </c>
      <c r="M46" s="103">
        <v>100</v>
      </c>
      <c r="N46" s="103">
        <f t="shared" si="1"/>
        <v>0.7</v>
      </c>
      <c r="O46" s="103" t="s">
        <v>29</v>
      </c>
      <c r="P46" s="57">
        <v>280</v>
      </c>
      <c r="Q46" s="57">
        <v>720</v>
      </c>
      <c r="R46" s="57">
        <f t="shared" si="2"/>
        <v>0.3888888888888889</v>
      </c>
      <c r="S46" s="57">
        <v>1500000</v>
      </c>
      <c r="T46" s="104">
        <v>45926</v>
      </c>
      <c r="U46" s="57">
        <v>4114112244</v>
      </c>
      <c r="V46" s="93"/>
    </row>
    <row r="47" spans="1:22" ht="24.95" customHeight="1" x14ac:dyDescent="0.25">
      <c r="A47" s="94">
        <v>44</v>
      </c>
      <c r="B47" s="57">
        <v>336689</v>
      </c>
      <c r="C47" s="78" t="s">
        <v>1841</v>
      </c>
      <c r="D47" s="57" t="s">
        <v>391</v>
      </c>
      <c r="E47" s="57" t="s">
        <v>1796</v>
      </c>
      <c r="F47" s="79">
        <v>39604</v>
      </c>
      <c r="G47" s="100" t="s">
        <v>417</v>
      </c>
      <c r="H47" s="57"/>
      <c r="I47" s="101">
        <f>74+90+89</f>
        <v>253</v>
      </c>
      <c r="J47" s="57">
        <v>300</v>
      </c>
      <c r="K47" s="57">
        <f t="shared" si="0"/>
        <v>0.84333333333333338</v>
      </c>
      <c r="L47" s="101">
        <v>93</v>
      </c>
      <c r="M47" s="102">
        <v>100</v>
      </c>
      <c r="N47" s="103">
        <f t="shared" si="1"/>
        <v>0.93</v>
      </c>
      <c r="O47" s="103" t="s">
        <v>29</v>
      </c>
      <c r="P47" s="57">
        <v>341</v>
      </c>
      <c r="Q47" s="57">
        <v>720</v>
      </c>
      <c r="R47" s="103">
        <f t="shared" si="2"/>
        <v>0.47361111111111109</v>
      </c>
      <c r="S47" s="57">
        <v>1500000</v>
      </c>
      <c r="T47" s="104">
        <v>45968</v>
      </c>
      <c r="U47" s="57">
        <v>4129102132</v>
      </c>
      <c r="V47" s="93"/>
    </row>
    <row r="48" spans="1:22" ht="24.95" customHeight="1" x14ac:dyDescent="0.25">
      <c r="A48" s="94">
        <v>45</v>
      </c>
      <c r="B48" s="57">
        <v>74441</v>
      </c>
      <c r="C48" s="58" t="s">
        <v>1842</v>
      </c>
      <c r="D48" s="100" t="s">
        <v>397</v>
      </c>
      <c r="E48" s="57" t="s">
        <v>1796</v>
      </c>
      <c r="F48" s="104">
        <v>39102</v>
      </c>
      <c r="G48" s="100" t="s">
        <v>392</v>
      </c>
      <c r="H48" s="57"/>
      <c r="I48" s="101">
        <f>73+80+92</f>
        <v>245</v>
      </c>
      <c r="J48" s="102">
        <v>300</v>
      </c>
      <c r="K48" s="103">
        <f t="shared" si="0"/>
        <v>0.81666666666666665</v>
      </c>
      <c r="L48" s="105">
        <v>96</v>
      </c>
      <c r="M48" s="103">
        <v>100</v>
      </c>
      <c r="N48" s="103">
        <f t="shared" si="1"/>
        <v>0.96</v>
      </c>
      <c r="O48" s="103" t="s">
        <v>29</v>
      </c>
      <c r="P48" s="57">
        <v>482</v>
      </c>
      <c r="Q48" s="57">
        <v>720</v>
      </c>
      <c r="R48" s="57">
        <f t="shared" si="2"/>
        <v>0.6694444444444444</v>
      </c>
      <c r="S48" s="57">
        <v>450000</v>
      </c>
      <c r="T48" s="104">
        <v>45927</v>
      </c>
      <c r="U48" s="57">
        <v>4108106385</v>
      </c>
      <c r="V48" s="93"/>
    </row>
    <row r="49" spans="1:22" ht="24.95" customHeight="1" x14ac:dyDescent="0.25">
      <c r="A49" s="94">
        <v>46</v>
      </c>
      <c r="B49" s="57">
        <v>177295</v>
      </c>
      <c r="C49" s="58" t="s">
        <v>1843</v>
      </c>
      <c r="D49" s="100" t="s">
        <v>397</v>
      </c>
      <c r="E49" s="57" t="s">
        <v>1796</v>
      </c>
      <c r="F49" s="104">
        <v>38555</v>
      </c>
      <c r="G49" s="100" t="s">
        <v>392</v>
      </c>
      <c r="H49" s="57"/>
      <c r="I49" s="101">
        <f>60+72+93</f>
        <v>225</v>
      </c>
      <c r="J49" s="102">
        <v>300</v>
      </c>
      <c r="K49" s="103">
        <f t="shared" si="0"/>
        <v>0.75</v>
      </c>
      <c r="L49" s="105">
        <v>87</v>
      </c>
      <c r="M49" s="103">
        <v>100</v>
      </c>
      <c r="N49" s="103">
        <f t="shared" si="1"/>
        <v>0.87</v>
      </c>
      <c r="O49" s="103" t="s">
        <v>29</v>
      </c>
      <c r="P49" s="57">
        <v>418</v>
      </c>
      <c r="Q49" s="57">
        <v>720</v>
      </c>
      <c r="R49" s="57">
        <f t="shared" si="2"/>
        <v>0.5805555555555556</v>
      </c>
      <c r="S49" s="57">
        <v>450000</v>
      </c>
      <c r="T49" s="104">
        <v>45969</v>
      </c>
      <c r="U49" s="57">
        <v>4101204004</v>
      </c>
      <c r="V49" s="93"/>
    </row>
    <row r="50" spans="1:22" ht="24.95" customHeight="1" x14ac:dyDescent="0.25">
      <c r="A50" s="94">
        <v>47</v>
      </c>
      <c r="B50" s="57">
        <v>395984</v>
      </c>
      <c r="C50" s="58" t="s">
        <v>1844</v>
      </c>
      <c r="D50" s="100" t="s">
        <v>391</v>
      </c>
      <c r="E50" s="57" t="s">
        <v>1796</v>
      </c>
      <c r="F50" s="104">
        <v>39595</v>
      </c>
      <c r="G50" s="100" t="s">
        <v>417</v>
      </c>
      <c r="H50" s="57"/>
      <c r="I50" s="101">
        <f>74+70+83</f>
        <v>227</v>
      </c>
      <c r="J50" s="102">
        <v>300</v>
      </c>
      <c r="K50" s="103">
        <f t="shared" si="0"/>
        <v>0.75666666666666671</v>
      </c>
      <c r="L50" s="105">
        <v>91</v>
      </c>
      <c r="M50" s="103">
        <v>100</v>
      </c>
      <c r="N50" s="103">
        <f t="shared" si="1"/>
        <v>0.91</v>
      </c>
      <c r="O50" s="103" t="s">
        <v>29</v>
      </c>
      <c r="P50" s="57">
        <v>317</v>
      </c>
      <c r="Q50" s="57">
        <v>720</v>
      </c>
      <c r="R50" s="57">
        <f t="shared" si="2"/>
        <v>0.44027777777777777</v>
      </c>
      <c r="S50" s="57">
        <v>1500000</v>
      </c>
      <c r="T50" s="104">
        <v>45889</v>
      </c>
      <c r="U50" s="57">
        <v>4101404250</v>
      </c>
      <c r="V50" s="93"/>
    </row>
    <row r="51" spans="1:22" ht="24.95" customHeight="1" x14ac:dyDescent="0.25">
      <c r="A51" s="94">
        <v>48</v>
      </c>
      <c r="B51" s="57">
        <v>79856</v>
      </c>
      <c r="C51" s="78" t="s">
        <v>1845</v>
      </c>
      <c r="D51" s="57" t="s">
        <v>391</v>
      </c>
      <c r="E51" s="57" t="s">
        <v>1796</v>
      </c>
      <c r="F51" s="79">
        <v>39442</v>
      </c>
      <c r="G51" s="100" t="s">
        <v>392</v>
      </c>
      <c r="H51" s="57"/>
      <c r="I51" s="101">
        <f>87+95+90</f>
        <v>272</v>
      </c>
      <c r="J51" s="57">
        <v>300</v>
      </c>
      <c r="K51" s="57">
        <f t="shared" si="0"/>
        <v>0.90666666666666662</v>
      </c>
      <c r="L51" s="101">
        <v>91</v>
      </c>
      <c r="M51" s="102">
        <v>100</v>
      </c>
      <c r="N51" s="103">
        <f t="shared" si="1"/>
        <v>0.91</v>
      </c>
      <c r="O51" s="103" t="s">
        <v>29</v>
      </c>
      <c r="P51" s="57">
        <v>478</v>
      </c>
      <c r="Q51" s="57">
        <v>720</v>
      </c>
      <c r="R51" s="103">
        <f t="shared" si="2"/>
        <v>0.66388888888888886</v>
      </c>
      <c r="S51" s="57">
        <v>450000</v>
      </c>
      <c r="T51" s="104">
        <v>45966</v>
      </c>
      <c r="U51" s="57">
        <v>4108106390</v>
      </c>
      <c r="V51" s="93"/>
    </row>
    <row r="52" spans="1:22" ht="24.95" customHeight="1" x14ac:dyDescent="0.25">
      <c r="A52" s="94">
        <v>49</v>
      </c>
      <c r="B52" s="57">
        <v>63772</v>
      </c>
      <c r="C52" s="58" t="s">
        <v>1846</v>
      </c>
      <c r="D52" s="100" t="s">
        <v>397</v>
      </c>
      <c r="E52" s="57" t="s">
        <v>1796</v>
      </c>
      <c r="F52" s="104">
        <v>39305</v>
      </c>
      <c r="G52" s="100" t="s">
        <v>392</v>
      </c>
      <c r="H52" s="57"/>
      <c r="I52" s="101">
        <f>94+91+95</f>
        <v>280</v>
      </c>
      <c r="J52" s="102">
        <v>300</v>
      </c>
      <c r="K52" s="103">
        <f t="shared" si="0"/>
        <v>0.93333333333333335</v>
      </c>
      <c r="L52" s="105">
        <v>91</v>
      </c>
      <c r="M52" s="103">
        <v>100</v>
      </c>
      <c r="N52" s="103">
        <f t="shared" si="1"/>
        <v>0.91</v>
      </c>
      <c r="O52" s="103" t="s">
        <v>29</v>
      </c>
      <c r="P52" s="57">
        <v>490</v>
      </c>
      <c r="Q52" s="57">
        <v>720</v>
      </c>
      <c r="R52" s="57">
        <f t="shared" si="2"/>
        <v>0.68055555555555558</v>
      </c>
      <c r="S52" s="57">
        <v>450000</v>
      </c>
      <c r="T52" s="104">
        <v>45889</v>
      </c>
      <c r="U52" s="57">
        <v>4108104304</v>
      </c>
      <c r="V52" s="93"/>
    </row>
    <row r="53" spans="1:22" ht="24.95" customHeight="1" x14ac:dyDescent="0.25">
      <c r="A53" s="94">
        <v>50</v>
      </c>
      <c r="B53" s="57">
        <v>72936</v>
      </c>
      <c r="C53" s="58" t="s">
        <v>1847</v>
      </c>
      <c r="D53" s="100" t="s">
        <v>397</v>
      </c>
      <c r="E53" s="57" t="s">
        <v>1796</v>
      </c>
      <c r="F53" s="104">
        <v>38585</v>
      </c>
      <c r="G53" s="100" t="s">
        <v>392</v>
      </c>
      <c r="H53" s="57"/>
      <c r="I53" s="101">
        <f>95+89+95</f>
        <v>279</v>
      </c>
      <c r="J53" s="102">
        <v>300</v>
      </c>
      <c r="K53" s="103">
        <f t="shared" si="0"/>
        <v>0.93</v>
      </c>
      <c r="L53" s="105">
        <v>89</v>
      </c>
      <c r="M53" s="103">
        <v>100</v>
      </c>
      <c r="N53" s="103">
        <f t="shared" si="1"/>
        <v>0.89</v>
      </c>
      <c r="O53" s="103" t="s">
        <v>29</v>
      </c>
      <c r="P53" s="57">
        <v>483</v>
      </c>
      <c r="Q53" s="57">
        <v>720</v>
      </c>
      <c r="R53" s="57">
        <f t="shared" si="2"/>
        <v>0.67083333333333328</v>
      </c>
      <c r="S53" s="57">
        <v>450000</v>
      </c>
      <c r="T53" s="104">
        <v>45889</v>
      </c>
      <c r="U53" s="57">
        <v>4117106209</v>
      </c>
      <c r="V53" s="93"/>
    </row>
    <row r="54" spans="1:22" ht="24.95" customHeight="1" x14ac:dyDescent="0.25">
      <c r="A54" s="94">
        <v>51</v>
      </c>
      <c r="B54" s="57">
        <v>432908</v>
      </c>
      <c r="C54" s="58" t="s">
        <v>1848</v>
      </c>
      <c r="D54" s="100" t="s">
        <v>397</v>
      </c>
      <c r="E54" s="57" t="s">
        <v>1796</v>
      </c>
      <c r="F54" s="104">
        <v>39362</v>
      </c>
      <c r="G54" s="100" t="s">
        <v>417</v>
      </c>
      <c r="H54" s="100"/>
      <c r="I54" s="101">
        <f>80+74+76</f>
        <v>230</v>
      </c>
      <c r="J54" s="102">
        <v>300</v>
      </c>
      <c r="K54" s="103">
        <f t="shared" si="0"/>
        <v>0.76666666666666672</v>
      </c>
      <c r="L54" s="105">
        <v>83</v>
      </c>
      <c r="M54" s="103">
        <v>100</v>
      </c>
      <c r="N54" s="103">
        <f t="shared" si="1"/>
        <v>0.83</v>
      </c>
      <c r="O54" s="103" t="s">
        <v>29</v>
      </c>
      <c r="P54" s="57">
        <v>304</v>
      </c>
      <c r="Q54" s="57">
        <v>720</v>
      </c>
      <c r="R54" s="57">
        <f t="shared" si="2"/>
        <v>0.42222222222222222</v>
      </c>
      <c r="S54" s="57">
        <v>1500000</v>
      </c>
      <c r="T54" s="104">
        <v>45891</v>
      </c>
      <c r="U54" s="57">
        <v>4113102256</v>
      </c>
      <c r="V54" s="93"/>
    </row>
    <row r="55" spans="1:22" ht="24.95" customHeight="1" x14ac:dyDescent="0.25">
      <c r="A55" s="94">
        <v>52</v>
      </c>
      <c r="B55" s="57">
        <v>277245</v>
      </c>
      <c r="C55" s="58" t="s">
        <v>1849</v>
      </c>
      <c r="D55" s="100" t="s">
        <v>391</v>
      </c>
      <c r="E55" s="57" t="s">
        <v>1796</v>
      </c>
      <c r="F55" s="104">
        <v>38569</v>
      </c>
      <c r="G55" s="100" t="s">
        <v>392</v>
      </c>
      <c r="H55" s="100"/>
      <c r="I55" s="101">
        <f>67+72+62</f>
        <v>201</v>
      </c>
      <c r="J55" s="102">
        <v>300</v>
      </c>
      <c r="K55" s="103">
        <f t="shared" si="0"/>
        <v>0.67</v>
      </c>
      <c r="L55" s="105">
        <v>76</v>
      </c>
      <c r="M55" s="103">
        <v>100</v>
      </c>
      <c r="N55" s="103">
        <f t="shared" si="1"/>
        <v>0.76</v>
      </c>
      <c r="O55" s="103" t="s">
        <v>29</v>
      </c>
      <c r="P55" s="57">
        <v>367</v>
      </c>
      <c r="Q55" s="57">
        <v>720</v>
      </c>
      <c r="R55" s="57">
        <f t="shared" si="2"/>
        <v>0.50972222222222219</v>
      </c>
      <c r="S55" s="57">
        <v>450000</v>
      </c>
      <c r="T55" s="104">
        <v>45966</v>
      </c>
      <c r="U55" s="57">
        <v>4109114527</v>
      </c>
      <c r="V55" s="93"/>
    </row>
    <row r="56" spans="1:22" ht="24.95" customHeight="1" x14ac:dyDescent="0.25">
      <c r="A56" s="94">
        <v>53</v>
      </c>
      <c r="B56" s="57"/>
      <c r="C56" s="58" t="s">
        <v>1850</v>
      </c>
      <c r="D56" s="100" t="s">
        <v>397</v>
      </c>
      <c r="E56" s="57" t="s">
        <v>1796</v>
      </c>
      <c r="F56" s="104">
        <v>39360</v>
      </c>
      <c r="G56" s="100" t="s">
        <v>417</v>
      </c>
      <c r="H56" s="57"/>
      <c r="I56" s="101">
        <f>80+83+85</f>
        <v>248</v>
      </c>
      <c r="J56" s="102">
        <v>300</v>
      </c>
      <c r="K56" s="103">
        <f t="shared" si="0"/>
        <v>0.82666666666666666</v>
      </c>
      <c r="L56" s="105">
        <v>89</v>
      </c>
      <c r="M56" s="103">
        <v>100</v>
      </c>
      <c r="N56" s="103">
        <f t="shared" si="1"/>
        <v>0.89</v>
      </c>
      <c r="O56" s="103" t="s">
        <v>29</v>
      </c>
      <c r="P56" s="57">
        <v>363</v>
      </c>
      <c r="Q56" s="57">
        <v>720</v>
      </c>
      <c r="R56" s="57">
        <f t="shared" si="2"/>
        <v>0.50416666666666665</v>
      </c>
      <c r="S56" s="57">
        <v>1500000</v>
      </c>
      <c r="T56" s="104">
        <v>45968</v>
      </c>
      <c r="U56" s="57">
        <v>4101114095</v>
      </c>
      <c r="V56" s="93"/>
    </row>
    <row r="57" spans="1:22" ht="24.95" customHeight="1" x14ac:dyDescent="0.25">
      <c r="A57" s="94">
        <v>54</v>
      </c>
      <c r="B57" s="57">
        <v>65014</v>
      </c>
      <c r="C57" s="58" t="s">
        <v>1851</v>
      </c>
      <c r="D57" s="100" t="s">
        <v>391</v>
      </c>
      <c r="E57" s="57" t="s">
        <v>1796</v>
      </c>
      <c r="F57" s="104">
        <v>39349</v>
      </c>
      <c r="G57" s="100" t="s">
        <v>392</v>
      </c>
      <c r="H57" s="57"/>
      <c r="I57" s="101">
        <f>100+99+99</f>
        <v>298</v>
      </c>
      <c r="J57" s="102">
        <v>300</v>
      </c>
      <c r="K57" s="103">
        <f t="shared" si="0"/>
        <v>0.99333333333333329</v>
      </c>
      <c r="L57" s="105">
        <v>98</v>
      </c>
      <c r="M57" s="103">
        <v>100</v>
      </c>
      <c r="N57" s="103">
        <f t="shared" si="1"/>
        <v>0.98</v>
      </c>
      <c r="O57" s="103" t="s">
        <v>29</v>
      </c>
      <c r="P57" s="57">
        <v>489</v>
      </c>
      <c r="Q57" s="57">
        <v>720</v>
      </c>
      <c r="R57" s="57">
        <f t="shared" si="2"/>
        <v>0.6791666666666667</v>
      </c>
      <c r="S57" s="57">
        <v>450000</v>
      </c>
      <c r="T57" s="104">
        <v>45890</v>
      </c>
      <c r="U57" s="57">
        <v>4106115171</v>
      </c>
      <c r="V57" s="93"/>
    </row>
    <row r="58" spans="1:22" ht="24.95" customHeight="1" x14ac:dyDescent="0.25">
      <c r="A58" s="94">
        <v>55</v>
      </c>
      <c r="B58" s="57">
        <v>62249</v>
      </c>
      <c r="C58" s="58" t="s">
        <v>1852</v>
      </c>
      <c r="D58" s="100" t="s">
        <v>391</v>
      </c>
      <c r="E58" s="57" t="s">
        <v>1796</v>
      </c>
      <c r="F58" s="104">
        <v>37803</v>
      </c>
      <c r="G58" s="100" t="s">
        <v>392</v>
      </c>
      <c r="H58" s="57"/>
      <c r="I58" s="101">
        <f>66+64+88</f>
        <v>218</v>
      </c>
      <c r="J58" s="102">
        <v>300</v>
      </c>
      <c r="K58" s="103">
        <f t="shared" si="0"/>
        <v>0.72666666666666668</v>
      </c>
      <c r="L58" s="105">
        <v>86</v>
      </c>
      <c r="M58" s="103">
        <v>100</v>
      </c>
      <c r="N58" s="103">
        <f t="shared" si="1"/>
        <v>0.86</v>
      </c>
      <c r="O58" s="103" t="s">
        <v>29</v>
      </c>
      <c r="P58" s="57">
        <v>491</v>
      </c>
      <c r="Q58" s="57">
        <v>720</v>
      </c>
      <c r="R58" s="57">
        <f t="shared" si="2"/>
        <v>0.68194444444444446</v>
      </c>
      <c r="S58" s="57">
        <v>450000</v>
      </c>
      <c r="T58" s="104">
        <v>45889</v>
      </c>
      <c r="U58" s="57">
        <v>4114106022</v>
      </c>
      <c r="V58" s="93"/>
    </row>
    <row r="59" spans="1:22" ht="24.95" customHeight="1" x14ac:dyDescent="0.25">
      <c r="A59" s="94">
        <v>56</v>
      </c>
      <c r="B59" s="57">
        <v>73072</v>
      </c>
      <c r="C59" s="78" t="s">
        <v>1853</v>
      </c>
      <c r="D59" s="57" t="s">
        <v>391</v>
      </c>
      <c r="E59" s="57" t="s">
        <v>1796</v>
      </c>
      <c r="F59" s="79">
        <v>38989</v>
      </c>
      <c r="G59" s="100" t="s">
        <v>392</v>
      </c>
      <c r="H59" s="57"/>
      <c r="I59" s="101">
        <f>93+95+98</f>
        <v>286</v>
      </c>
      <c r="J59" s="57">
        <v>300</v>
      </c>
      <c r="K59" s="57">
        <f t="shared" si="0"/>
        <v>0.95333333333333337</v>
      </c>
      <c r="L59" s="101">
        <v>95</v>
      </c>
      <c r="M59" s="102">
        <v>100</v>
      </c>
      <c r="N59" s="103">
        <f t="shared" si="1"/>
        <v>0.95</v>
      </c>
      <c r="O59" s="103" t="s">
        <v>29</v>
      </c>
      <c r="P59" s="57">
        <v>483</v>
      </c>
      <c r="Q59" s="57">
        <v>720</v>
      </c>
      <c r="R59" s="103">
        <f t="shared" si="2"/>
        <v>0.67083333333333328</v>
      </c>
      <c r="S59" s="57">
        <v>450000</v>
      </c>
      <c r="T59" s="104">
        <v>45968</v>
      </c>
      <c r="U59" s="57">
        <v>4114104209</v>
      </c>
      <c r="V59" s="93"/>
    </row>
    <row r="60" spans="1:22" ht="24.95" customHeight="1" x14ac:dyDescent="0.25">
      <c r="A60" s="94">
        <v>57</v>
      </c>
      <c r="B60" s="57">
        <v>170604</v>
      </c>
      <c r="C60" s="58" t="s">
        <v>1854</v>
      </c>
      <c r="D60" s="100" t="s">
        <v>397</v>
      </c>
      <c r="E60" s="57" t="s">
        <v>1796</v>
      </c>
      <c r="F60" s="104">
        <v>38934</v>
      </c>
      <c r="G60" s="100" t="s">
        <v>392</v>
      </c>
      <c r="H60" s="57"/>
      <c r="I60" s="101">
        <f>69+78+71</f>
        <v>218</v>
      </c>
      <c r="J60" s="102">
        <v>300</v>
      </c>
      <c r="K60" s="103">
        <f t="shared" si="0"/>
        <v>0.72666666666666668</v>
      </c>
      <c r="L60" s="105">
        <v>91</v>
      </c>
      <c r="M60" s="103">
        <v>100</v>
      </c>
      <c r="N60" s="103">
        <f t="shared" si="1"/>
        <v>0.91</v>
      </c>
      <c r="O60" s="103" t="s">
        <v>29</v>
      </c>
      <c r="P60" s="57">
        <v>421</v>
      </c>
      <c r="Q60" s="57">
        <v>720</v>
      </c>
      <c r="R60" s="57">
        <f t="shared" si="2"/>
        <v>0.58472222222222225</v>
      </c>
      <c r="S60" s="57">
        <v>450000</v>
      </c>
      <c r="T60" s="104">
        <v>45892</v>
      </c>
      <c r="U60" s="57">
        <v>4108103039</v>
      </c>
      <c r="V60" s="93"/>
    </row>
    <row r="61" spans="1:22" ht="24.95" customHeight="1" x14ac:dyDescent="0.25">
      <c r="A61" s="94">
        <v>58</v>
      </c>
      <c r="B61" s="57">
        <v>439489</v>
      </c>
      <c r="C61" s="58" t="s">
        <v>1855</v>
      </c>
      <c r="D61" s="100" t="s">
        <v>397</v>
      </c>
      <c r="E61" s="57" t="s">
        <v>1796</v>
      </c>
      <c r="F61" s="104">
        <v>38937</v>
      </c>
      <c r="G61" s="100" t="s">
        <v>417</v>
      </c>
      <c r="H61" s="100"/>
      <c r="I61" s="101">
        <f>68+80+85</f>
        <v>233</v>
      </c>
      <c r="J61" s="102">
        <v>300</v>
      </c>
      <c r="K61" s="103">
        <f t="shared" si="0"/>
        <v>0.77666666666666662</v>
      </c>
      <c r="L61" s="105">
        <v>97</v>
      </c>
      <c r="M61" s="103">
        <v>100</v>
      </c>
      <c r="N61" s="103">
        <f t="shared" si="1"/>
        <v>0.97</v>
      </c>
      <c r="O61" s="103" t="s">
        <v>29</v>
      </c>
      <c r="P61" s="57">
        <v>301</v>
      </c>
      <c r="Q61" s="57">
        <v>720</v>
      </c>
      <c r="R61" s="57">
        <f t="shared" si="2"/>
        <v>0.41805555555555557</v>
      </c>
      <c r="S61" s="57">
        <v>1500000</v>
      </c>
      <c r="T61" s="104">
        <v>45890</v>
      </c>
      <c r="U61" s="57">
        <v>4113106293</v>
      </c>
      <c r="V61" s="93"/>
    </row>
    <row r="62" spans="1:22" ht="24.95" customHeight="1" x14ac:dyDescent="0.25">
      <c r="A62" s="94">
        <v>59</v>
      </c>
      <c r="B62" s="57">
        <v>913377</v>
      </c>
      <c r="C62" s="78" t="s">
        <v>1856</v>
      </c>
      <c r="D62" s="57" t="s">
        <v>397</v>
      </c>
      <c r="E62" s="57" t="s">
        <v>1796</v>
      </c>
      <c r="F62" s="99">
        <v>39374</v>
      </c>
      <c r="G62" s="100" t="s">
        <v>417</v>
      </c>
      <c r="H62" s="57"/>
      <c r="I62" s="101">
        <f>71+69+71</f>
        <v>211</v>
      </c>
      <c r="J62" s="57">
        <v>300</v>
      </c>
      <c r="K62" s="57">
        <f t="shared" si="0"/>
        <v>0.70333333333333337</v>
      </c>
      <c r="L62" s="101">
        <v>89</v>
      </c>
      <c r="M62" s="102">
        <v>100</v>
      </c>
      <c r="N62" s="103">
        <f t="shared" si="1"/>
        <v>0.89</v>
      </c>
      <c r="O62" s="103" t="s">
        <v>29</v>
      </c>
      <c r="P62" s="57">
        <v>176</v>
      </c>
      <c r="Q62" s="57">
        <v>720</v>
      </c>
      <c r="R62" s="103">
        <f t="shared" si="2"/>
        <v>0.24444444444444444</v>
      </c>
      <c r="S62" s="57">
        <v>1500000</v>
      </c>
      <c r="T62" s="104">
        <v>45966</v>
      </c>
      <c r="U62" s="57">
        <v>4101104155</v>
      </c>
      <c r="V62" s="93"/>
    </row>
    <row r="63" spans="1:22" ht="24.95" customHeight="1" x14ac:dyDescent="0.25">
      <c r="A63" s="94">
        <v>60</v>
      </c>
      <c r="B63" s="57">
        <v>62791</v>
      </c>
      <c r="C63" s="58" t="s">
        <v>1857</v>
      </c>
      <c r="D63" s="100" t="s">
        <v>391</v>
      </c>
      <c r="E63" s="57" t="s">
        <v>1796</v>
      </c>
      <c r="F63" s="104">
        <v>39128</v>
      </c>
      <c r="G63" s="100" t="s">
        <v>392</v>
      </c>
      <c r="H63" s="57"/>
      <c r="I63" s="101">
        <f>89+95+90</f>
        <v>274</v>
      </c>
      <c r="J63" s="102">
        <v>300</v>
      </c>
      <c r="K63" s="103">
        <f t="shared" si="0"/>
        <v>0.91333333333333333</v>
      </c>
      <c r="L63" s="105">
        <v>95</v>
      </c>
      <c r="M63" s="103">
        <v>100</v>
      </c>
      <c r="N63" s="103">
        <f t="shared" si="1"/>
        <v>0.95</v>
      </c>
      <c r="O63" s="103" t="s">
        <v>29</v>
      </c>
      <c r="P63" s="57">
        <v>491</v>
      </c>
      <c r="Q63" s="57">
        <v>720</v>
      </c>
      <c r="R63" s="57">
        <f t="shared" si="2"/>
        <v>0.68194444444444446</v>
      </c>
      <c r="S63" s="57">
        <v>450000</v>
      </c>
      <c r="T63" s="104">
        <v>45889</v>
      </c>
      <c r="U63" s="57">
        <v>4122109270</v>
      </c>
      <c r="V63" s="93"/>
    </row>
    <row r="64" spans="1:22" ht="24.95" customHeight="1" x14ac:dyDescent="0.25">
      <c r="A64" s="94">
        <v>61</v>
      </c>
      <c r="B64" s="57">
        <v>76840</v>
      </c>
      <c r="C64" s="58" t="s">
        <v>1858</v>
      </c>
      <c r="D64" s="100" t="s">
        <v>397</v>
      </c>
      <c r="E64" s="57" t="s">
        <v>1796</v>
      </c>
      <c r="F64" s="104">
        <v>38418</v>
      </c>
      <c r="G64" s="100" t="s">
        <v>392</v>
      </c>
      <c r="H64" s="57"/>
      <c r="I64" s="101">
        <f>84+86+97</f>
        <v>267</v>
      </c>
      <c r="J64" s="102">
        <v>300</v>
      </c>
      <c r="K64" s="103">
        <f t="shared" si="0"/>
        <v>0.89</v>
      </c>
      <c r="L64" s="105">
        <v>83</v>
      </c>
      <c r="M64" s="103">
        <v>100</v>
      </c>
      <c r="N64" s="103">
        <f t="shared" si="1"/>
        <v>0.83</v>
      </c>
      <c r="O64" s="103" t="s">
        <v>29</v>
      </c>
      <c r="P64" s="57">
        <v>480</v>
      </c>
      <c r="Q64" s="57">
        <v>720</v>
      </c>
      <c r="R64" s="57">
        <f t="shared" si="2"/>
        <v>0.66666666666666663</v>
      </c>
      <c r="S64" s="57">
        <v>450000</v>
      </c>
      <c r="T64" s="104">
        <v>45926</v>
      </c>
      <c r="U64" s="57">
        <v>4122104100</v>
      </c>
      <c r="V64" s="93"/>
    </row>
    <row r="65" spans="1:22" ht="24.95" customHeight="1" x14ac:dyDescent="0.25">
      <c r="A65" s="94">
        <v>62</v>
      </c>
      <c r="B65" s="57">
        <v>641676</v>
      </c>
      <c r="C65" s="78" t="s">
        <v>1859</v>
      </c>
      <c r="D65" s="57" t="s">
        <v>397</v>
      </c>
      <c r="E65" s="57" t="s">
        <v>1796</v>
      </c>
      <c r="F65" s="79">
        <v>38363</v>
      </c>
      <c r="G65" s="100" t="s">
        <v>417</v>
      </c>
      <c r="H65" s="57"/>
      <c r="I65" s="101">
        <f>67+61+66</f>
        <v>194</v>
      </c>
      <c r="J65" s="57">
        <v>300</v>
      </c>
      <c r="K65" s="57">
        <f t="shared" si="0"/>
        <v>0.64666666666666661</v>
      </c>
      <c r="L65" s="101">
        <v>70</v>
      </c>
      <c r="M65" s="102">
        <v>100</v>
      </c>
      <c r="N65" s="103">
        <f t="shared" si="1"/>
        <v>0.7</v>
      </c>
      <c r="O65" s="103" t="s">
        <v>29</v>
      </c>
      <c r="P65" s="57">
        <v>239</v>
      </c>
      <c r="Q65" s="57">
        <v>720</v>
      </c>
      <c r="R65" s="103">
        <f t="shared" si="2"/>
        <v>0.33194444444444443</v>
      </c>
      <c r="S65" s="57">
        <v>1500000</v>
      </c>
      <c r="T65" s="104">
        <v>45966</v>
      </c>
      <c r="U65" s="57">
        <v>4118104120</v>
      </c>
      <c r="V65" s="93"/>
    </row>
    <row r="66" spans="1:22" ht="24.95" customHeight="1" x14ac:dyDescent="0.25">
      <c r="A66" s="94">
        <v>63</v>
      </c>
      <c r="B66" s="57">
        <v>472759</v>
      </c>
      <c r="C66" s="58" t="s">
        <v>1860</v>
      </c>
      <c r="D66" s="100" t="s">
        <v>397</v>
      </c>
      <c r="E66" s="57" t="s">
        <v>1796</v>
      </c>
      <c r="F66" s="104">
        <v>39497</v>
      </c>
      <c r="G66" s="100" t="s">
        <v>417</v>
      </c>
      <c r="H66" s="100"/>
      <c r="I66" s="101">
        <f>82+87+88</f>
        <v>257</v>
      </c>
      <c r="J66" s="102">
        <v>300</v>
      </c>
      <c r="K66" s="103">
        <f t="shared" si="0"/>
        <v>0.85666666666666669</v>
      </c>
      <c r="L66" s="105">
        <v>89</v>
      </c>
      <c r="M66" s="103">
        <v>100</v>
      </c>
      <c r="N66" s="103">
        <f t="shared" si="1"/>
        <v>0.89</v>
      </c>
      <c r="O66" s="103" t="s">
        <v>29</v>
      </c>
      <c r="P66" s="57">
        <v>290</v>
      </c>
      <c r="Q66" s="57">
        <v>720</v>
      </c>
      <c r="R66" s="57">
        <f t="shared" si="2"/>
        <v>0.40277777777777779</v>
      </c>
      <c r="S66" s="57">
        <v>1500000</v>
      </c>
      <c r="T66" s="104">
        <v>45927</v>
      </c>
      <c r="U66" s="57">
        <v>4127102105</v>
      </c>
      <c r="V66" s="93"/>
    </row>
    <row r="67" spans="1:22" ht="24.95" customHeight="1" x14ac:dyDescent="0.25">
      <c r="A67" s="94">
        <v>64</v>
      </c>
      <c r="B67" s="57">
        <v>69829</v>
      </c>
      <c r="C67" s="78" t="s">
        <v>1861</v>
      </c>
      <c r="D67" s="57" t="s">
        <v>391</v>
      </c>
      <c r="E67" s="57" t="s">
        <v>1796</v>
      </c>
      <c r="F67" s="99">
        <v>38445</v>
      </c>
      <c r="G67" s="100" t="s">
        <v>392</v>
      </c>
      <c r="H67" s="57"/>
      <c r="I67" s="101">
        <f>94+87+96</f>
        <v>277</v>
      </c>
      <c r="J67" s="57">
        <v>300</v>
      </c>
      <c r="K67" s="57">
        <f t="shared" si="0"/>
        <v>0.92333333333333334</v>
      </c>
      <c r="L67" s="101">
        <v>92</v>
      </c>
      <c r="M67" s="102">
        <v>100</v>
      </c>
      <c r="N67" s="103">
        <f t="shared" si="1"/>
        <v>0.92</v>
      </c>
      <c r="O67" s="103" t="s">
        <v>29</v>
      </c>
      <c r="P67" s="57">
        <v>485</v>
      </c>
      <c r="Q67" s="57">
        <v>720</v>
      </c>
      <c r="R67" s="103">
        <f t="shared" si="2"/>
        <v>0.67361111111111116</v>
      </c>
      <c r="S67" s="57">
        <v>450000</v>
      </c>
      <c r="T67" s="104">
        <v>45968</v>
      </c>
      <c r="U67" s="57">
        <v>4108113471</v>
      </c>
      <c r="V67" s="93"/>
    </row>
    <row r="68" spans="1:22" ht="24.95" customHeight="1" x14ac:dyDescent="0.25">
      <c r="A68" s="94">
        <v>65</v>
      </c>
      <c r="B68" s="57">
        <v>46336</v>
      </c>
      <c r="C68" s="58" t="s">
        <v>1862</v>
      </c>
      <c r="D68" s="100" t="s">
        <v>391</v>
      </c>
      <c r="E68" s="57" t="s">
        <v>1796</v>
      </c>
      <c r="F68" s="104">
        <v>37953</v>
      </c>
      <c r="G68" s="100" t="s">
        <v>392</v>
      </c>
      <c r="H68" s="107"/>
      <c r="I68" s="101">
        <f>93.5+95.21+89.79</f>
        <v>278.5</v>
      </c>
      <c r="J68" s="102">
        <v>300</v>
      </c>
      <c r="K68" s="103">
        <f t="shared" ref="K68:K131" si="3">I68/300</f>
        <v>0.92833333333333334</v>
      </c>
      <c r="L68" s="105">
        <v>94.39</v>
      </c>
      <c r="M68" s="103">
        <v>100</v>
      </c>
      <c r="N68" s="103">
        <f t="shared" ref="N68:N131" si="4">L68/100</f>
        <v>0.94389999999999996</v>
      </c>
      <c r="O68" s="103" t="s">
        <v>29</v>
      </c>
      <c r="P68" s="57">
        <v>505</v>
      </c>
      <c r="Q68" s="57">
        <v>720</v>
      </c>
      <c r="R68" s="57">
        <f t="shared" ref="R68:R131" si="5">P68/720</f>
        <v>0.70138888888888884</v>
      </c>
      <c r="S68" s="57">
        <v>450000</v>
      </c>
      <c r="T68" s="104">
        <v>45890</v>
      </c>
      <c r="U68" s="57">
        <v>4114108125</v>
      </c>
      <c r="V68" s="93"/>
    </row>
    <row r="69" spans="1:22" ht="24.95" customHeight="1" x14ac:dyDescent="0.25">
      <c r="A69" s="94">
        <v>66</v>
      </c>
      <c r="B69" s="57">
        <v>78935</v>
      </c>
      <c r="C69" s="58" t="s">
        <v>1863</v>
      </c>
      <c r="D69" s="100" t="s">
        <v>397</v>
      </c>
      <c r="E69" s="57" t="s">
        <v>1796</v>
      </c>
      <c r="F69" s="104">
        <v>39347</v>
      </c>
      <c r="G69" s="100" t="s">
        <v>392</v>
      </c>
      <c r="H69" s="100"/>
      <c r="I69" s="101">
        <f>92+95+89</f>
        <v>276</v>
      </c>
      <c r="J69" s="102">
        <v>300</v>
      </c>
      <c r="K69" s="103">
        <f t="shared" si="3"/>
        <v>0.92</v>
      </c>
      <c r="L69" s="105">
        <v>96</v>
      </c>
      <c r="M69" s="103">
        <v>100</v>
      </c>
      <c r="N69" s="103">
        <f t="shared" si="4"/>
        <v>0.96</v>
      </c>
      <c r="O69" s="103" t="s">
        <v>29</v>
      </c>
      <c r="P69" s="57">
        <v>479</v>
      </c>
      <c r="Q69" s="57">
        <v>720</v>
      </c>
      <c r="R69" s="57">
        <f t="shared" si="5"/>
        <v>0.66527777777777775</v>
      </c>
      <c r="S69" s="57">
        <v>450000</v>
      </c>
      <c r="T69" s="104">
        <v>45966</v>
      </c>
      <c r="U69" s="57">
        <v>4101211115</v>
      </c>
      <c r="V69" s="93"/>
    </row>
    <row r="70" spans="1:22" ht="24.95" customHeight="1" x14ac:dyDescent="0.25">
      <c r="A70" s="94">
        <v>67</v>
      </c>
      <c r="B70" s="57">
        <v>475381</v>
      </c>
      <c r="C70" s="58" t="s">
        <v>1864</v>
      </c>
      <c r="D70" s="100" t="s">
        <v>391</v>
      </c>
      <c r="E70" s="57" t="s">
        <v>1796</v>
      </c>
      <c r="F70" s="104">
        <v>38501</v>
      </c>
      <c r="G70" s="100" t="s">
        <v>417</v>
      </c>
      <c r="H70" s="57"/>
      <c r="I70" s="101">
        <f>85+77+83</f>
        <v>245</v>
      </c>
      <c r="J70" s="102">
        <v>300</v>
      </c>
      <c r="K70" s="103">
        <f t="shared" si="3"/>
        <v>0.81666666666666665</v>
      </c>
      <c r="L70" s="105">
        <v>84</v>
      </c>
      <c r="M70" s="103">
        <v>100</v>
      </c>
      <c r="N70" s="103">
        <f t="shared" si="4"/>
        <v>0.84</v>
      </c>
      <c r="O70" s="103" t="s">
        <v>29</v>
      </c>
      <c r="P70" s="57">
        <v>289</v>
      </c>
      <c r="Q70" s="57">
        <v>720</v>
      </c>
      <c r="R70" s="57">
        <f t="shared" si="5"/>
        <v>0.40138888888888891</v>
      </c>
      <c r="S70" s="57">
        <v>1500000</v>
      </c>
      <c r="T70" s="104">
        <v>45969</v>
      </c>
      <c r="U70" s="57">
        <v>4107102445</v>
      </c>
      <c r="V70" s="93"/>
    </row>
    <row r="71" spans="1:22" ht="24.95" customHeight="1" x14ac:dyDescent="0.25">
      <c r="A71" s="94">
        <v>68</v>
      </c>
      <c r="B71" s="57">
        <v>61851</v>
      </c>
      <c r="C71" s="58" t="s">
        <v>1865</v>
      </c>
      <c r="D71" s="100" t="s">
        <v>397</v>
      </c>
      <c r="E71" s="57" t="s">
        <v>1796</v>
      </c>
      <c r="F71" s="104">
        <v>39347</v>
      </c>
      <c r="G71" s="100" t="s">
        <v>392</v>
      </c>
      <c r="H71" s="57"/>
      <c r="I71" s="101">
        <f>81+85+86</f>
        <v>252</v>
      </c>
      <c r="J71" s="102">
        <v>300</v>
      </c>
      <c r="K71" s="103">
        <f t="shared" si="3"/>
        <v>0.84</v>
      </c>
      <c r="L71" s="105">
        <v>79</v>
      </c>
      <c r="M71" s="103">
        <v>100</v>
      </c>
      <c r="N71" s="103">
        <f t="shared" si="4"/>
        <v>0.79</v>
      </c>
      <c r="O71" s="103" t="s">
        <v>29</v>
      </c>
      <c r="P71" s="57">
        <v>492</v>
      </c>
      <c r="Q71" s="57">
        <v>720</v>
      </c>
      <c r="R71" s="57">
        <f t="shared" si="5"/>
        <v>0.68333333333333335</v>
      </c>
      <c r="S71" s="57">
        <v>450000</v>
      </c>
      <c r="T71" s="104">
        <v>45894</v>
      </c>
      <c r="U71" s="57">
        <v>4113108034</v>
      </c>
      <c r="V71" s="93"/>
    </row>
    <row r="72" spans="1:22" ht="24.95" customHeight="1" x14ac:dyDescent="0.25">
      <c r="A72" s="94">
        <v>69</v>
      </c>
      <c r="B72" s="57">
        <v>420586</v>
      </c>
      <c r="C72" s="58" t="s">
        <v>1866</v>
      </c>
      <c r="D72" s="100" t="s">
        <v>391</v>
      </c>
      <c r="E72" s="57" t="s">
        <v>1796</v>
      </c>
      <c r="F72" s="104">
        <v>38774</v>
      </c>
      <c r="G72" s="100" t="s">
        <v>417</v>
      </c>
      <c r="H72" s="57"/>
      <c r="I72" s="101">
        <f>65+64+80</f>
        <v>209</v>
      </c>
      <c r="J72" s="102">
        <v>300</v>
      </c>
      <c r="K72" s="103">
        <f t="shared" si="3"/>
        <v>0.69666666666666666</v>
      </c>
      <c r="L72" s="105">
        <v>90</v>
      </c>
      <c r="M72" s="103">
        <v>100</v>
      </c>
      <c r="N72" s="103">
        <f t="shared" si="4"/>
        <v>0.9</v>
      </c>
      <c r="O72" s="103" t="s">
        <v>29</v>
      </c>
      <c r="P72" s="57">
        <v>308</v>
      </c>
      <c r="Q72" s="57">
        <v>720</v>
      </c>
      <c r="R72" s="57">
        <f t="shared" si="5"/>
        <v>0.42777777777777776</v>
      </c>
      <c r="S72" s="57">
        <v>1500000</v>
      </c>
      <c r="T72" s="104">
        <v>45891</v>
      </c>
      <c r="U72" s="57">
        <v>4122105349</v>
      </c>
      <c r="V72" s="93"/>
    </row>
    <row r="73" spans="1:22" ht="24.95" customHeight="1" x14ac:dyDescent="0.25">
      <c r="A73" s="94">
        <v>70</v>
      </c>
      <c r="B73" s="57">
        <v>419754</v>
      </c>
      <c r="C73" s="58" t="s">
        <v>1867</v>
      </c>
      <c r="D73" s="100" t="s">
        <v>397</v>
      </c>
      <c r="E73" s="57" t="s">
        <v>1796</v>
      </c>
      <c r="F73" s="104">
        <v>38774</v>
      </c>
      <c r="G73" s="100" t="s">
        <v>417</v>
      </c>
      <c r="H73" s="100"/>
      <c r="I73" s="101">
        <f>99+95+80</f>
        <v>274</v>
      </c>
      <c r="J73" s="102">
        <v>300</v>
      </c>
      <c r="K73" s="103">
        <f t="shared" si="3"/>
        <v>0.91333333333333333</v>
      </c>
      <c r="L73" s="105">
        <v>94</v>
      </c>
      <c r="M73" s="103">
        <v>100</v>
      </c>
      <c r="N73" s="103">
        <f t="shared" si="4"/>
        <v>0.94</v>
      </c>
      <c r="O73" s="103" t="s">
        <v>29</v>
      </c>
      <c r="P73" s="57">
        <v>309</v>
      </c>
      <c r="Q73" s="57">
        <v>720</v>
      </c>
      <c r="R73" s="57">
        <f t="shared" si="5"/>
        <v>0.42916666666666664</v>
      </c>
      <c r="S73" s="57">
        <v>1500000</v>
      </c>
      <c r="T73" s="104">
        <v>45927</v>
      </c>
      <c r="U73" s="57">
        <v>4122108141</v>
      </c>
      <c r="V73" s="93"/>
    </row>
    <row r="74" spans="1:22" ht="24.95" customHeight="1" x14ac:dyDescent="0.25">
      <c r="A74" s="94">
        <v>71</v>
      </c>
      <c r="B74" s="57">
        <v>61232</v>
      </c>
      <c r="C74" s="58" t="s">
        <v>1868</v>
      </c>
      <c r="D74" s="100" t="s">
        <v>391</v>
      </c>
      <c r="E74" s="57" t="s">
        <v>1796</v>
      </c>
      <c r="F74" s="104">
        <v>39193</v>
      </c>
      <c r="G74" s="100" t="s">
        <v>392</v>
      </c>
      <c r="H74" s="57"/>
      <c r="I74" s="101">
        <f>79+89+99</f>
        <v>267</v>
      </c>
      <c r="J74" s="102">
        <v>300</v>
      </c>
      <c r="K74" s="103">
        <f t="shared" si="3"/>
        <v>0.89</v>
      </c>
      <c r="L74" s="105">
        <v>93</v>
      </c>
      <c r="M74" s="103">
        <v>100</v>
      </c>
      <c r="N74" s="103">
        <f t="shared" si="4"/>
        <v>0.93</v>
      </c>
      <c r="O74" s="103" t="s">
        <v>29</v>
      </c>
      <c r="P74" s="57">
        <v>492</v>
      </c>
      <c r="Q74" s="57">
        <v>720</v>
      </c>
      <c r="R74" s="103">
        <f t="shared" si="5"/>
        <v>0.68333333333333335</v>
      </c>
      <c r="S74" s="57">
        <v>450000</v>
      </c>
      <c r="T74" s="104">
        <v>45892</v>
      </c>
      <c r="U74" s="57">
        <v>4113102655</v>
      </c>
      <c r="V74" s="93"/>
    </row>
    <row r="75" spans="1:22" ht="24.95" customHeight="1" x14ac:dyDescent="0.25">
      <c r="A75" s="94">
        <v>72</v>
      </c>
      <c r="B75" s="57">
        <v>62301</v>
      </c>
      <c r="C75" s="58" t="s">
        <v>1869</v>
      </c>
      <c r="D75" s="100" t="s">
        <v>391</v>
      </c>
      <c r="E75" s="57" t="s">
        <v>1796</v>
      </c>
      <c r="F75" s="104">
        <v>38560</v>
      </c>
      <c r="G75" s="100" t="s">
        <v>392</v>
      </c>
      <c r="H75" s="57"/>
      <c r="I75" s="101">
        <f>88+95+90</f>
        <v>273</v>
      </c>
      <c r="J75" s="102">
        <v>300</v>
      </c>
      <c r="K75" s="103">
        <f t="shared" si="3"/>
        <v>0.91</v>
      </c>
      <c r="L75" s="105">
        <v>95</v>
      </c>
      <c r="M75" s="103">
        <v>100</v>
      </c>
      <c r="N75" s="103">
        <f t="shared" si="4"/>
        <v>0.95</v>
      </c>
      <c r="O75" s="103" t="s">
        <v>29</v>
      </c>
      <c r="P75" s="57">
        <v>491</v>
      </c>
      <c r="Q75" s="57">
        <v>720</v>
      </c>
      <c r="R75" s="103">
        <f t="shared" si="5"/>
        <v>0.68194444444444446</v>
      </c>
      <c r="S75" s="57">
        <v>450000</v>
      </c>
      <c r="T75" s="104">
        <v>45889</v>
      </c>
      <c r="U75" s="57">
        <v>4101309371</v>
      </c>
      <c r="V75" s="93"/>
    </row>
    <row r="76" spans="1:22" ht="24.95" customHeight="1" x14ac:dyDescent="0.25">
      <c r="A76" s="94">
        <v>73</v>
      </c>
      <c r="B76" s="57">
        <v>78799</v>
      </c>
      <c r="C76" s="58" t="s">
        <v>1870</v>
      </c>
      <c r="D76" s="100" t="s">
        <v>397</v>
      </c>
      <c r="E76" s="57" t="s">
        <v>1796</v>
      </c>
      <c r="F76" s="104">
        <v>38693</v>
      </c>
      <c r="G76" s="100" t="s">
        <v>392</v>
      </c>
      <c r="H76" s="57"/>
      <c r="I76" s="101">
        <f>99+100+86</f>
        <v>285</v>
      </c>
      <c r="J76" s="102">
        <v>300</v>
      </c>
      <c r="K76" s="103">
        <f t="shared" si="3"/>
        <v>0.95</v>
      </c>
      <c r="L76" s="105">
        <v>83</v>
      </c>
      <c r="M76" s="103">
        <v>100</v>
      </c>
      <c r="N76" s="103">
        <f t="shared" si="4"/>
        <v>0.83</v>
      </c>
      <c r="O76" s="103" t="s">
        <v>29</v>
      </c>
      <c r="P76" s="57">
        <v>479</v>
      </c>
      <c r="Q76" s="57">
        <v>720</v>
      </c>
      <c r="R76" s="57">
        <f t="shared" si="5"/>
        <v>0.66527777777777775</v>
      </c>
      <c r="S76" s="57">
        <v>450000</v>
      </c>
      <c r="T76" s="104">
        <v>45967</v>
      </c>
      <c r="U76" s="57">
        <v>4113102057</v>
      </c>
      <c r="V76" s="93"/>
    </row>
    <row r="77" spans="1:22" ht="24.95" customHeight="1" x14ac:dyDescent="0.25">
      <c r="A77" s="94">
        <v>74</v>
      </c>
      <c r="B77" s="57">
        <v>168842</v>
      </c>
      <c r="C77" s="58" t="s">
        <v>1871</v>
      </c>
      <c r="D77" s="100" t="s">
        <v>397</v>
      </c>
      <c r="E77" s="57" t="s">
        <v>1796</v>
      </c>
      <c r="F77" s="104">
        <v>38593</v>
      </c>
      <c r="G77" s="100" t="s">
        <v>392</v>
      </c>
      <c r="H77" s="57"/>
      <c r="I77" s="101">
        <f>94+93+83</f>
        <v>270</v>
      </c>
      <c r="J77" s="102">
        <v>300</v>
      </c>
      <c r="K77" s="103">
        <f t="shared" si="3"/>
        <v>0.9</v>
      </c>
      <c r="L77" s="105">
        <v>82</v>
      </c>
      <c r="M77" s="103">
        <v>100</v>
      </c>
      <c r="N77" s="103">
        <f t="shared" si="4"/>
        <v>0.82</v>
      </c>
      <c r="O77" s="103" t="s">
        <v>29</v>
      </c>
      <c r="P77" s="57">
        <v>422</v>
      </c>
      <c r="Q77" s="57">
        <v>720</v>
      </c>
      <c r="R77" s="57">
        <f t="shared" si="5"/>
        <v>0.58611111111111114</v>
      </c>
      <c r="S77" s="57">
        <v>450000</v>
      </c>
      <c r="T77" s="104">
        <v>45890</v>
      </c>
      <c r="U77" s="57">
        <v>4121101201</v>
      </c>
      <c r="V77" s="93"/>
    </row>
    <row r="78" spans="1:22" ht="24.95" customHeight="1" x14ac:dyDescent="0.25">
      <c r="A78" s="94">
        <v>75</v>
      </c>
      <c r="B78" s="57">
        <v>74062</v>
      </c>
      <c r="C78" s="78" t="s">
        <v>1872</v>
      </c>
      <c r="D78" s="57" t="s">
        <v>397</v>
      </c>
      <c r="E78" s="57" t="s">
        <v>1796</v>
      </c>
      <c r="F78" s="99">
        <v>38283</v>
      </c>
      <c r="G78" s="100" t="s">
        <v>392</v>
      </c>
      <c r="H78" s="57"/>
      <c r="I78" s="101">
        <f>81+85+86</f>
        <v>252</v>
      </c>
      <c r="J78" s="57">
        <v>300</v>
      </c>
      <c r="K78" s="57">
        <f t="shared" si="3"/>
        <v>0.84</v>
      </c>
      <c r="L78" s="101">
        <v>79</v>
      </c>
      <c r="M78" s="102">
        <v>100</v>
      </c>
      <c r="N78" s="103">
        <f t="shared" si="4"/>
        <v>0.79</v>
      </c>
      <c r="O78" s="103" t="s">
        <v>29</v>
      </c>
      <c r="P78" s="57">
        <v>482</v>
      </c>
      <c r="Q78" s="57">
        <v>720</v>
      </c>
      <c r="R78" s="103">
        <f t="shared" si="5"/>
        <v>0.6694444444444444</v>
      </c>
      <c r="S78" s="57">
        <v>450000</v>
      </c>
      <c r="T78" s="104">
        <v>45968</v>
      </c>
      <c r="U78" s="57">
        <v>4108106408</v>
      </c>
      <c r="V78" s="93"/>
    </row>
    <row r="79" spans="1:22" ht="24.95" customHeight="1" x14ac:dyDescent="0.25">
      <c r="A79" s="94">
        <v>76</v>
      </c>
      <c r="B79" s="57">
        <v>103870</v>
      </c>
      <c r="C79" s="78" t="s">
        <v>1873</v>
      </c>
      <c r="D79" s="57" t="s">
        <v>391</v>
      </c>
      <c r="E79" s="57" t="s">
        <v>1796</v>
      </c>
      <c r="F79" s="99">
        <v>38037</v>
      </c>
      <c r="G79" s="100" t="s">
        <v>392</v>
      </c>
      <c r="H79" s="57"/>
      <c r="I79" s="101">
        <f>91.5+94.63+85.79</f>
        <v>271.92</v>
      </c>
      <c r="J79" s="57">
        <v>300</v>
      </c>
      <c r="K79" s="57">
        <f t="shared" si="3"/>
        <v>0.90640000000000009</v>
      </c>
      <c r="L79" s="101">
        <v>92.39</v>
      </c>
      <c r="M79" s="102">
        <v>100</v>
      </c>
      <c r="N79" s="103">
        <f t="shared" si="4"/>
        <v>0.92390000000000005</v>
      </c>
      <c r="O79" s="103" t="s">
        <v>29</v>
      </c>
      <c r="P79" s="57">
        <v>462</v>
      </c>
      <c r="Q79" s="57">
        <v>720</v>
      </c>
      <c r="R79" s="103">
        <f t="shared" si="5"/>
        <v>0.64166666666666672</v>
      </c>
      <c r="S79" s="57">
        <v>450000</v>
      </c>
      <c r="T79" s="104">
        <v>45980</v>
      </c>
      <c r="U79" s="57">
        <v>4120106162</v>
      </c>
      <c r="V79" s="93"/>
    </row>
    <row r="80" spans="1:22" ht="24.95" customHeight="1" x14ac:dyDescent="0.25">
      <c r="A80" s="94">
        <v>77</v>
      </c>
      <c r="B80" s="57">
        <v>74657</v>
      </c>
      <c r="C80" s="78" t="s">
        <v>1332</v>
      </c>
      <c r="D80" s="57" t="s">
        <v>391</v>
      </c>
      <c r="E80" s="57" t="s">
        <v>1796</v>
      </c>
      <c r="F80" s="99">
        <v>38528</v>
      </c>
      <c r="G80" s="100" t="s">
        <v>392</v>
      </c>
      <c r="H80" s="57"/>
      <c r="I80" s="101">
        <f>88+72+88</f>
        <v>248</v>
      </c>
      <c r="J80" s="57">
        <v>300</v>
      </c>
      <c r="K80" s="57">
        <f t="shared" si="3"/>
        <v>0.82666666666666666</v>
      </c>
      <c r="L80" s="101">
        <v>89</v>
      </c>
      <c r="M80" s="102">
        <v>100</v>
      </c>
      <c r="N80" s="103">
        <f t="shared" si="4"/>
        <v>0.89</v>
      </c>
      <c r="O80" s="103" t="s">
        <v>29</v>
      </c>
      <c r="P80" s="57">
        <v>482</v>
      </c>
      <c r="Q80" s="57">
        <v>720</v>
      </c>
      <c r="R80" s="103">
        <f t="shared" si="5"/>
        <v>0.6694444444444444</v>
      </c>
      <c r="S80" s="57">
        <v>450000</v>
      </c>
      <c r="T80" s="104">
        <v>45966</v>
      </c>
      <c r="U80" s="57">
        <v>2302109090</v>
      </c>
      <c r="V80" s="93"/>
    </row>
    <row r="81" spans="1:22" ht="24.95" customHeight="1" x14ac:dyDescent="0.25">
      <c r="A81" s="94">
        <v>78</v>
      </c>
      <c r="B81" s="57">
        <v>533522</v>
      </c>
      <c r="C81" s="78" t="s">
        <v>1874</v>
      </c>
      <c r="D81" s="57" t="s">
        <v>397</v>
      </c>
      <c r="E81" s="57" t="s">
        <v>1796</v>
      </c>
      <c r="F81" s="99">
        <v>37611</v>
      </c>
      <c r="G81" s="100" t="s">
        <v>417</v>
      </c>
      <c r="H81" s="57"/>
      <c r="I81" s="101">
        <f>63+74+83</f>
        <v>220</v>
      </c>
      <c r="J81" s="57">
        <v>300</v>
      </c>
      <c r="K81" s="57">
        <f t="shared" si="3"/>
        <v>0.73333333333333328</v>
      </c>
      <c r="L81" s="101">
        <v>82</v>
      </c>
      <c r="M81" s="102">
        <v>100</v>
      </c>
      <c r="N81" s="103">
        <f t="shared" si="4"/>
        <v>0.82</v>
      </c>
      <c r="O81" s="103" t="s">
        <v>29</v>
      </c>
      <c r="P81" s="57">
        <v>270</v>
      </c>
      <c r="Q81" s="57">
        <v>720</v>
      </c>
      <c r="R81" s="103">
        <f t="shared" si="5"/>
        <v>0.375</v>
      </c>
      <c r="S81" s="57">
        <v>1500000</v>
      </c>
      <c r="T81" s="104">
        <v>45980</v>
      </c>
      <c r="U81" s="57">
        <v>4119102003</v>
      </c>
      <c r="V81" s="93"/>
    </row>
    <row r="82" spans="1:22" ht="24.95" customHeight="1" x14ac:dyDescent="0.25">
      <c r="A82" s="94">
        <v>79</v>
      </c>
      <c r="B82" s="57">
        <v>79564</v>
      </c>
      <c r="C82" s="78" t="s">
        <v>1875</v>
      </c>
      <c r="D82" s="57" t="s">
        <v>391</v>
      </c>
      <c r="E82" s="57" t="s">
        <v>1796</v>
      </c>
      <c r="F82" s="79">
        <v>39249</v>
      </c>
      <c r="G82" s="100" t="s">
        <v>392</v>
      </c>
      <c r="H82" s="57"/>
      <c r="I82" s="101">
        <f>91+95+94</f>
        <v>280</v>
      </c>
      <c r="J82" s="57">
        <v>300</v>
      </c>
      <c r="K82" s="57">
        <f t="shared" si="3"/>
        <v>0.93333333333333335</v>
      </c>
      <c r="L82" s="101">
        <v>96</v>
      </c>
      <c r="M82" s="102">
        <v>100</v>
      </c>
      <c r="N82" s="103">
        <f t="shared" si="4"/>
        <v>0.96</v>
      </c>
      <c r="O82" s="103" t="s">
        <v>29</v>
      </c>
      <c r="P82" s="57">
        <v>478</v>
      </c>
      <c r="Q82" s="57">
        <v>720</v>
      </c>
      <c r="R82" s="103">
        <f t="shared" si="5"/>
        <v>0.66388888888888886</v>
      </c>
      <c r="S82" s="57">
        <v>450000</v>
      </c>
      <c r="T82" s="104">
        <v>45966</v>
      </c>
      <c r="U82" s="57">
        <v>4114105021</v>
      </c>
      <c r="V82" s="93"/>
    </row>
    <row r="83" spans="1:22" ht="24.95" customHeight="1" x14ac:dyDescent="0.25">
      <c r="A83" s="94">
        <v>80</v>
      </c>
      <c r="B83" s="57">
        <v>846150</v>
      </c>
      <c r="C83" s="78" t="s">
        <v>1876</v>
      </c>
      <c r="D83" s="57" t="s">
        <v>391</v>
      </c>
      <c r="E83" s="57" t="s">
        <v>1796</v>
      </c>
      <c r="F83" s="99">
        <v>39450</v>
      </c>
      <c r="G83" s="100" t="s">
        <v>417</v>
      </c>
      <c r="H83" s="57"/>
      <c r="I83" s="101">
        <f>71+72+72</f>
        <v>215</v>
      </c>
      <c r="J83" s="57">
        <v>300</v>
      </c>
      <c r="K83" s="57">
        <f t="shared" si="3"/>
        <v>0.71666666666666667</v>
      </c>
      <c r="L83" s="101">
        <v>80</v>
      </c>
      <c r="M83" s="102">
        <v>100</v>
      </c>
      <c r="N83" s="103">
        <f t="shared" si="4"/>
        <v>0.8</v>
      </c>
      <c r="O83" s="103" t="s">
        <v>29</v>
      </c>
      <c r="P83" s="57">
        <v>190</v>
      </c>
      <c r="Q83" s="57">
        <v>720</v>
      </c>
      <c r="R83" s="103">
        <f t="shared" si="5"/>
        <v>0.2638888888888889</v>
      </c>
      <c r="S83" s="57">
        <v>1500000</v>
      </c>
      <c r="T83" s="104">
        <v>45966</v>
      </c>
      <c r="U83" s="57">
        <v>4101211459</v>
      </c>
      <c r="V83" s="93"/>
    </row>
    <row r="84" spans="1:22" ht="24.95" customHeight="1" x14ac:dyDescent="0.25">
      <c r="A84" s="94">
        <v>81</v>
      </c>
      <c r="B84" s="57">
        <v>358346</v>
      </c>
      <c r="C84" s="58" t="s">
        <v>1877</v>
      </c>
      <c r="D84" s="100" t="s">
        <v>391</v>
      </c>
      <c r="E84" s="57" t="s">
        <v>1796</v>
      </c>
      <c r="F84" s="104">
        <v>39086</v>
      </c>
      <c r="G84" s="100" t="s">
        <v>417</v>
      </c>
      <c r="H84" s="100"/>
      <c r="I84" s="101">
        <f>63+63+86</f>
        <v>212</v>
      </c>
      <c r="J84" s="102">
        <v>300</v>
      </c>
      <c r="K84" s="103">
        <f t="shared" si="3"/>
        <v>0.70666666666666667</v>
      </c>
      <c r="L84" s="105">
        <v>87</v>
      </c>
      <c r="M84" s="103">
        <v>100</v>
      </c>
      <c r="N84" s="103">
        <f t="shared" si="4"/>
        <v>0.87</v>
      </c>
      <c r="O84" s="103" t="s">
        <v>29</v>
      </c>
      <c r="P84" s="57">
        <v>332</v>
      </c>
      <c r="Q84" s="57">
        <v>720</v>
      </c>
      <c r="R84" s="57">
        <f t="shared" si="5"/>
        <v>0.46111111111111114</v>
      </c>
      <c r="S84" s="57">
        <v>1500000</v>
      </c>
      <c r="T84" s="104">
        <v>45889</v>
      </c>
      <c r="U84" s="57">
        <v>4101309237</v>
      </c>
      <c r="V84" s="93"/>
    </row>
    <row r="85" spans="1:22" ht="24.95" customHeight="1" x14ac:dyDescent="0.25">
      <c r="A85" s="94">
        <v>82</v>
      </c>
      <c r="B85" s="57">
        <v>490817</v>
      </c>
      <c r="C85" s="108" t="s">
        <v>1878</v>
      </c>
      <c r="D85" s="57" t="s">
        <v>391</v>
      </c>
      <c r="E85" s="57" t="s">
        <v>1796</v>
      </c>
      <c r="F85" s="109">
        <v>39047</v>
      </c>
      <c r="G85" s="100" t="s">
        <v>417</v>
      </c>
      <c r="H85" s="57"/>
      <c r="I85" s="101">
        <f>80+84+78</f>
        <v>242</v>
      </c>
      <c r="J85" s="57">
        <v>300</v>
      </c>
      <c r="K85" s="57">
        <f t="shared" si="3"/>
        <v>0.80666666666666664</v>
      </c>
      <c r="L85" s="101">
        <v>93</v>
      </c>
      <c r="M85" s="102">
        <v>100</v>
      </c>
      <c r="N85" s="103">
        <f t="shared" si="4"/>
        <v>0.93</v>
      </c>
      <c r="O85" s="103" t="s">
        <v>29</v>
      </c>
      <c r="P85" s="57">
        <v>282</v>
      </c>
      <c r="Q85" s="57">
        <v>720</v>
      </c>
      <c r="R85" s="103">
        <f t="shared" si="5"/>
        <v>0.39166666666666666</v>
      </c>
      <c r="S85" s="57">
        <v>1500000</v>
      </c>
      <c r="T85" s="104">
        <v>45981</v>
      </c>
      <c r="U85" s="57">
        <v>4125105173</v>
      </c>
      <c r="V85" s="93"/>
    </row>
    <row r="86" spans="1:22" ht="24.95" customHeight="1" x14ac:dyDescent="0.25">
      <c r="A86" s="94">
        <v>83</v>
      </c>
      <c r="B86" s="57">
        <v>482019</v>
      </c>
      <c r="C86" s="58" t="s">
        <v>1879</v>
      </c>
      <c r="D86" s="100" t="s">
        <v>391</v>
      </c>
      <c r="E86" s="57" t="s">
        <v>1796</v>
      </c>
      <c r="F86" s="104">
        <v>39604</v>
      </c>
      <c r="G86" s="100" t="s">
        <v>417</v>
      </c>
      <c r="H86" s="100"/>
      <c r="I86" s="101">
        <f>72+88+90</f>
        <v>250</v>
      </c>
      <c r="J86" s="102">
        <v>300</v>
      </c>
      <c r="K86" s="103">
        <f t="shared" si="3"/>
        <v>0.83333333333333337</v>
      </c>
      <c r="L86" s="105">
        <v>95</v>
      </c>
      <c r="M86" s="103">
        <v>100</v>
      </c>
      <c r="N86" s="103">
        <f t="shared" si="4"/>
        <v>0.95</v>
      </c>
      <c r="O86" s="103" t="s">
        <v>29</v>
      </c>
      <c r="P86" s="57">
        <v>287</v>
      </c>
      <c r="Q86" s="57">
        <v>720</v>
      </c>
      <c r="R86" s="57">
        <f t="shared" si="5"/>
        <v>0.39861111111111114</v>
      </c>
      <c r="S86" s="57">
        <v>1500000</v>
      </c>
      <c r="T86" s="104">
        <v>45928</v>
      </c>
      <c r="U86" s="57">
        <v>4112111387</v>
      </c>
      <c r="V86" s="93"/>
    </row>
    <row r="87" spans="1:22" ht="24.95" customHeight="1" x14ac:dyDescent="0.25">
      <c r="A87" s="94">
        <v>84</v>
      </c>
      <c r="B87" s="57">
        <v>747696</v>
      </c>
      <c r="C87" s="78" t="s">
        <v>1880</v>
      </c>
      <c r="D87" s="57" t="s">
        <v>397</v>
      </c>
      <c r="E87" s="57" t="s">
        <v>1796</v>
      </c>
      <c r="F87" s="79">
        <v>39549</v>
      </c>
      <c r="G87" s="100" t="s">
        <v>417</v>
      </c>
      <c r="H87" s="57"/>
      <c r="I87" s="101">
        <f>73+67+80</f>
        <v>220</v>
      </c>
      <c r="J87" s="57">
        <v>300</v>
      </c>
      <c r="K87" s="57">
        <f t="shared" si="3"/>
        <v>0.73333333333333328</v>
      </c>
      <c r="L87" s="101">
        <v>79</v>
      </c>
      <c r="M87" s="102">
        <v>100</v>
      </c>
      <c r="N87" s="103">
        <f t="shared" si="4"/>
        <v>0.79</v>
      </c>
      <c r="O87" s="103" t="s">
        <v>29</v>
      </c>
      <c r="P87" s="57">
        <v>212</v>
      </c>
      <c r="Q87" s="57">
        <v>720</v>
      </c>
      <c r="R87" s="103">
        <f t="shared" si="5"/>
        <v>0.29444444444444445</v>
      </c>
      <c r="S87" s="57">
        <v>1500000</v>
      </c>
      <c r="T87" s="104">
        <v>45966</v>
      </c>
      <c r="U87" s="57">
        <v>4101211130</v>
      </c>
      <c r="V87" s="93"/>
    </row>
    <row r="88" spans="1:22" ht="24.95" customHeight="1" x14ac:dyDescent="0.25">
      <c r="A88" s="94">
        <v>85</v>
      </c>
      <c r="B88" s="57">
        <v>556931</v>
      </c>
      <c r="C88" s="78" t="s">
        <v>1881</v>
      </c>
      <c r="D88" s="57" t="s">
        <v>391</v>
      </c>
      <c r="E88" s="57" t="s">
        <v>1796</v>
      </c>
      <c r="F88" s="99">
        <v>39025</v>
      </c>
      <c r="G88" s="100" t="s">
        <v>417</v>
      </c>
      <c r="H88" s="57"/>
      <c r="I88" s="101">
        <f>85+81+84</f>
        <v>250</v>
      </c>
      <c r="J88" s="57">
        <v>300</v>
      </c>
      <c r="K88" s="57">
        <f t="shared" si="3"/>
        <v>0.83333333333333337</v>
      </c>
      <c r="L88" s="101">
        <v>95</v>
      </c>
      <c r="M88" s="102">
        <v>100</v>
      </c>
      <c r="N88" s="103">
        <f t="shared" si="4"/>
        <v>0.95</v>
      </c>
      <c r="O88" s="103" t="s">
        <v>29</v>
      </c>
      <c r="P88" s="57">
        <v>263</v>
      </c>
      <c r="Q88" s="57">
        <v>720</v>
      </c>
      <c r="R88" s="103">
        <f t="shared" si="5"/>
        <v>0.36527777777777776</v>
      </c>
      <c r="S88" s="57">
        <v>1500000</v>
      </c>
      <c r="T88" s="104">
        <v>45968</v>
      </c>
      <c r="U88" s="57">
        <v>2811109044</v>
      </c>
      <c r="V88" s="93"/>
    </row>
    <row r="89" spans="1:22" ht="24.95" customHeight="1" x14ac:dyDescent="0.25">
      <c r="A89" s="94">
        <v>86</v>
      </c>
      <c r="B89" s="57">
        <v>182293</v>
      </c>
      <c r="C89" s="78" t="s">
        <v>1882</v>
      </c>
      <c r="D89" s="57" t="s">
        <v>391</v>
      </c>
      <c r="E89" s="57" t="s">
        <v>1796</v>
      </c>
      <c r="F89" s="99">
        <v>38617</v>
      </c>
      <c r="G89" s="100" t="s">
        <v>392</v>
      </c>
      <c r="H89" s="57"/>
      <c r="I89" s="101">
        <f>83+95+79</f>
        <v>257</v>
      </c>
      <c r="J89" s="57">
        <v>300</v>
      </c>
      <c r="K89" s="57">
        <f t="shared" si="3"/>
        <v>0.85666666666666669</v>
      </c>
      <c r="L89" s="101">
        <v>88</v>
      </c>
      <c r="M89" s="102">
        <v>100</v>
      </c>
      <c r="N89" s="103">
        <f t="shared" si="4"/>
        <v>0.88</v>
      </c>
      <c r="O89" s="103" t="s">
        <v>29</v>
      </c>
      <c r="P89" s="57">
        <v>415</v>
      </c>
      <c r="Q89" s="57">
        <v>720</v>
      </c>
      <c r="R89" s="103">
        <f t="shared" si="5"/>
        <v>0.57638888888888884</v>
      </c>
      <c r="S89" s="57">
        <v>450000</v>
      </c>
      <c r="T89" s="104">
        <v>45968</v>
      </c>
      <c r="U89" s="57">
        <v>4112111335</v>
      </c>
      <c r="V89" s="93"/>
    </row>
    <row r="90" spans="1:22" ht="24.95" customHeight="1" x14ac:dyDescent="0.25">
      <c r="A90" s="94">
        <v>87</v>
      </c>
      <c r="B90" s="57">
        <v>290899</v>
      </c>
      <c r="C90" s="58" t="s">
        <v>1883</v>
      </c>
      <c r="D90" s="100" t="s">
        <v>397</v>
      </c>
      <c r="E90" s="57" t="s">
        <v>1796</v>
      </c>
      <c r="F90" s="104">
        <v>38173</v>
      </c>
      <c r="G90" s="100" t="s">
        <v>417</v>
      </c>
      <c r="H90" s="100"/>
      <c r="I90" s="101">
        <f>78+86+75</f>
        <v>239</v>
      </c>
      <c r="J90" s="102">
        <v>300</v>
      </c>
      <c r="K90" s="103">
        <f t="shared" si="3"/>
        <v>0.79666666666666663</v>
      </c>
      <c r="L90" s="105">
        <v>77</v>
      </c>
      <c r="M90" s="103">
        <v>100</v>
      </c>
      <c r="N90" s="103">
        <f t="shared" si="4"/>
        <v>0.77</v>
      </c>
      <c r="O90" s="103" t="s">
        <v>29</v>
      </c>
      <c r="P90" s="57">
        <v>361</v>
      </c>
      <c r="Q90" s="57">
        <v>720</v>
      </c>
      <c r="R90" s="57">
        <f t="shared" si="5"/>
        <v>0.50138888888888888</v>
      </c>
      <c r="S90" s="57">
        <v>1500000</v>
      </c>
      <c r="T90" s="104">
        <v>45929</v>
      </c>
      <c r="U90" s="57">
        <v>4108101313</v>
      </c>
      <c r="V90" s="93"/>
    </row>
    <row r="91" spans="1:22" ht="24.95" customHeight="1" x14ac:dyDescent="0.25">
      <c r="A91" s="94">
        <v>88</v>
      </c>
      <c r="B91" s="57">
        <v>64983</v>
      </c>
      <c r="C91" s="58" t="s">
        <v>1884</v>
      </c>
      <c r="D91" s="100" t="s">
        <v>397</v>
      </c>
      <c r="E91" s="57" t="s">
        <v>1796</v>
      </c>
      <c r="F91" s="104">
        <v>39217</v>
      </c>
      <c r="G91" s="100" t="s">
        <v>392</v>
      </c>
      <c r="H91" s="57"/>
      <c r="I91" s="101">
        <f>93+95+90</f>
        <v>278</v>
      </c>
      <c r="J91" s="102">
        <v>300</v>
      </c>
      <c r="K91" s="103">
        <f t="shared" si="3"/>
        <v>0.92666666666666664</v>
      </c>
      <c r="L91" s="105">
        <v>83</v>
      </c>
      <c r="M91" s="103">
        <v>100</v>
      </c>
      <c r="N91" s="103">
        <f t="shared" si="4"/>
        <v>0.83</v>
      </c>
      <c r="O91" s="103" t="s">
        <v>29</v>
      </c>
      <c r="P91" s="57">
        <v>489</v>
      </c>
      <c r="Q91" s="57">
        <v>720</v>
      </c>
      <c r="R91" s="57">
        <f t="shared" si="5"/>
        <v>0.6791666666666667</v>
      </c>
      <c r="S91" s="57">
        <v>450000</v>
      </c>
      <c r="T91" s="104">
        <v>45928</v>
      </c>
      <c r="U91" s="57">
        <v>4108104106</v>
      </c>
      <c r="V91" s="93"/>
    </row>
    <row r="92" spans="1:22" ht="24.95" customHeight="1" x14ac:dyDescent="0.25">
      <c r="A92" s="94">
        <v>89</v>
      </c>
      <c r="B92" s="57">
        <v>65307</v>
      </c>
      <c r="C92" s="58" t="s">
        <v>1885</v>
      </c>
      <c r="D92" s="100" t="s">
        <v>397</v>
      </c>
      <c r="E92" s="57" t="s">
        <v>1796</v>
      </c>
      <c r="F92" s="104">
        <v>38347</v>
      </c>
      <c r="G92" s="100" t="s">
        <v>392</v>
      </c>
      <c r="H92" s="57"/>
      <c r="I92" s="101">
        <f>91+85+87</f>
        <v>263</v>
      </c>
      <c r="J92" s="102">
        <v>300</v>
      </c>
      <c r="K92" s="103">
        <f t="shared" si="3"/>
        <v>0.87666666666666671</v>
      </c>
      <c r="L92" s="105">
        <v>86</v>
      </c>
      <c r="M92" s="103">
        <v>100</v>
      </c>
      <c r="N92" s="103">
        <f t="shared" si="4"/>
        <v>0.86</v>
      </c>
      <c r="O92" s="103" t="s">
        <v>29</v>
      </c>
      <c r="P92" s="57">
        <v>489</v>
      </c>
      <c r="Q92" s="57">
        <v>720</v>
      </c>
      <c r="R92" s="103">
        <f t="shared" si="5"/>
        <v>0.6791666666666667</v>
      </c>
      <c r="S92" s="57">
        <v>450000</v>
      </c>
      <c r="T92" s="104">
        <v>45892</v>
      </c>
      <c r="U92" s="57">
        <v>4102101418</v>
      </c>
      <c r="V92" s="93"/>
    </row>
    <row r="93" spans="1:22" ht="24.95" customHeight="1" x14ac:dyDescent="0.25">
      <c r="A93" s="94">
        <v>90</v>
      </c>
      <c r="B93" s="57">
        <v>415383</v>
      </c>
      <c r="C93" s="58" t="s">
        <v>1886</v>
      </c>
      <c r="D93" s="100" t="s">
        <v>391</v>
      </c>
      <c r="E93" s="57" t="s">
        <v>1796</v>
      </c>
      <c r="F93" s="104">
        <v>39062</v>
      </c>
      <c r="G93" s="100" t="s">
        <v>417</v>
      </c>
      <c r="H93" s="100"/>
      <c r="I93" s="101">
        <f>61+68+86</f>
        <v>215</v>
      </c>
      <c r="J93" s="102">
        <v>300</v>
      </c>
      <c r="K93" s="103">
        <f t="shared" si="3"/>
        <v>0.71666666666666667</v>
      </c>
      <c r="L93" s="105">
        <v>95</v>
      </c>
      <c r="M93" s="103">
        <v>100</v>
      </c>
      <c r="N93" s="103">
        <f t="shared" si="4"/>
        <v>0.95</v>
      </c>
      <c r="O93" s="103" t="s">
        <v>29</v>
      </c>
      <c r="P93" s="57">
        <v>310</v>
      </c>
      <c r="Q93" s="57">
        <v>720</v>
      </c>
      <c r="R93" s="57">
        <f t="shared" si="5"/>
        <v>0.43055555555555558</v>
      </c>
      <c r="S93" s="57">
        <v>1500000</v>
      </c>
      <c r="T93" s="104">
        <v>45891</v>
      </c>
      <c r="U93" s="57">
        <v>4108112424</v>
      </c>
      <c r="V93" s="93"/>
    </row>
    <row r="94" spans="1:22" ht="24.95" customHeight="1" x14ac:dyDescent="0.25">
      <c r="A94" s="94">
        <v>91</v>
      </c>
      <c r="B94" s="57">
        <v>260555</v>
      </c>
      <c r="C94" s="58" t="s">
        <v>1887</v>
      </c>
      <c r="D94" s="100" t="s">
        <v>391</v>
      </c>
      <c r="E94" s="57" t="s">
        <v>1796</v>
      </c>
      <c r="F94" s="104">
        <v>38598</v>
      </c>
      <c r="G94" s="100" t="s">
        <v>417</v>
      </c>
      <c r="H94" s="57"/>
      <c r="I94" s="101">
        <f>88+82+68</f>
        <v>238</v>
      </c>
      <c r="J94" s="102">
        <v>300</v>
      </c>
      <c r="K94" s="103">
        <f t="shared" si="3"/>
        <v>0.79333333333333333</v>
      </c>
      <c r="L94" s="105">
        <v>89</v>
      </c>
      <c r="M94" s="103">
        <v>100</v>
      </c>
      <c r="N94" s="103">
        <f t="shared" si="4"/>
        <v>0.89</v>
      </c>
      <c r="O94" s="103" t="s">
        <v>29</v>
      </c>
      <c r="P94" s="57">
        <v>375</v>
      </c>
      <c r="Q94" s="57">
        <v>720</v>
      </c>
      <c r="R94" s="57">
        <f t="shared" si="5"/>
        <v>0.52083333333333337</v>
      </c>
      <c r="S94" s="57">
        <v>1500000</v>
      </c>
      <c r="T94" s="104">
        <v>45890</v>
      </c>
      <c r="U94" s="57">
        <v>4122101297</v>
      </c>
      <c r="V94" s="93"/>
    </row>
    <row r="95" spans="1:22" ht="24.95" customHeight="1" x14ac:dyDescent="0.25">
      <c r="A95" s="94">
        <v>92</v>
      </c>
      <c r="B95" s="57">
        <v>74237</v>
      </c>
      <c r="C95" s="78" t="s">
        <v>1888</v>
      </c>
      <c r="D95" s="57" t="s">
        <v>397</v>
      </c>
      <c r="E95" s="57" t="s">
        <v>1796</v>
      </c>
      <c r="F95" s="99">
        <v>38379</v>
      </c>
      <c r="G95" s="100" t="s">
        <v>392</v>
      </c>
      <c r="H95" s="57"/>
      <c r="I95" s="101">
        <f>90+88+94</f>
        <v>272</v>
      </c>
      <c r="J95" s="57">
        <v>300</v>
      </c>
      <c r="K95" s="57">
        <f t="shared" si="3"/>
        <v>0.90666666666666662</v>
      </c>
      <c r="L95" s="101">
        <v>87</v>
      </c>
      <c r="M95" s="102">
        <v>100</v>
      </c>
      <c r="N95" s="103">
        <f t="shared" si="4"/>
        <v>0.87</v>
      </c>
      <c r="O95" s="103" t="s">
        <v>29</v>
      </c>
      <c r="P95" s="57">
        <v>482</v>
      </c>
      <c r="Q95" s="57">
        <v>720</v>
      </c>
      <c r="R95" s="103">
        <f t="shared" si="5"/>
        <v>0.6694444444444444</v>
      </c>
      <c r="S95" s="57">
        <v>450000</v>
      </c>
      <c r="T95" s="104">
        <v>45968</v>
      </c>
      <c r="U95" s="57">
        <v>4106115405</v>
      </c>
      <c r="V95" s="93"/>
    </row>
    <row r="96" spans="1:22" ht="24.95" customHeight="1" x14ac:dyDescent="0.25">
      <c r="A96" s="94">
        <v>93</v>
      </c>
      <c r="B96" s="57">
        <v>429873</v>
      </c>
      <c r="C96" s="58" t="s">
        <v>1889</v>
      </c>
      <c r="D96" s="100" t="s">
        <v>391</v>
      </c>
      <c r="E96" s="57" t="s">
        <v>1796</v>
      </c>
      <c r="F96" s="104">
        <v>39417</v>
      </c>
      <c r="G96" s="100" t="s">
        <v>417</v>
      </c>
      <c r="H96" s="57"/>
      <c r="I96" s="101">
        <f>79+86+88</f>
        <v>253</v>
      </c>
      <c r="J96" s="102">
        <v>300</v>
      </c>
      <c r="K96" s="103">
        <f t="shared" si="3"/>
        <v>0.84333333333333338</v>
      </c>
      <c r="L96" s="105">
        <v>88</v>
      </c>
      <c r="M96" s="103">
        <v>100</v>
      </c>
      <c r="N96" s="103">
        <f t="shared" si="4"/>
        <v>0.88</v>
      </c>
      <c r="O96" s="103" t="s">
        <v>29</v>
      </c>
      <c r="P96" s="57">
        <v>305</v>
      </c>
      <c r="Q96" s="57">
        <v>720</v>
      </c>
      <c r="R96" s="57">
        <f t="shared" si="5"/>
        <v>0.4236111111111111</v>
      </c>
      <c r="S96" s="57">
        <v>1500000</v>
      </c>
      <c r="T96" s="104">
        <v>45891</v>
      </c>
      <c r="U96" s="57">
        <v>4118104064</v>
      </c>
      <c r="V96" s="93"/>
    </row>
    <row r="97" spans="1:22" ht="24.95" customHeight="1" x14ac:dyDescent="0.25">
      <c r="A97" s="94">
        <v>94</v>
      </c>
      <c r="B97" s="57">
        <v>1072041</v>
      </c>
      <c r="C97" s="78" t="s">
        <v>1890</v>
      </c>
      <c r="D97" s="57" t="s">
        <v>391</v>
      </c>
      <c r="E97" s="57" t="s">
        <v>1796</v>
      </c>
      <c r="F97" s="99">
        <v>39371</v>
      </c>
      <c r="G97" s="100" t="s">
        <v>417</v>
      </c>
      <c r="H97" s="57"/>
      <c r="I97" s="101">
        <f>59+65+81</f>
        <v>205</v>
      </c>
      <c r="J97" s="57">
        <v>300</v>
      </c>
      <c r="K97" s="57">
        <f t="shared" si="3"/>
        <v>0.68333333333333335</v>
      </c>
      <c r="L97" s="101">
        <v>96</v>
      </c>
      <c r="M97" s="102">
        <v>100</v>
      </c>
      <c r="N97" s="103">
        <f t="shared" si="4"/>
        <v>0.96</v>
      </c>
      <c r="O97" s="103" t="s">
        <v>29</v>
      </c>
      <c r="P97" s="57">
        <v>148</v>
      </c>
      <c r="Q97" s="57">
        <v>720</v>
      </c>
      <c r="R97" s="103">
        <f t="shared" si="5"/>
        <v>0.20555555555555555</v>
      </c>
      <c r="S97" s="57">
        <v>1500000</v>
      </c>
      <c r="T97" s="104">
        <v>45966</v>
      </c>
      <c r="U97" s="57">
        <v>4114111162</v>
      </c>
      <c r="V97" s="93"/>
    </row>
    <row r="98" spans="1:22" ht="24.95" customHeight="1" x14ac:dyDescent="0.25">
      <c r="A98" s="94">
        <v>95</v>
      </c>
      <c r="B98" s="57">
        <v>573356</v>
      </c>
      <c r="C98" s="78" t="s">
        <v>1891</v>
      </c>
      <c r="D98" s="57" t="s">
        <v>391</v>
      </c>
      <c r="E98" s="57" t="s">
        <v>1796</v>
      </c>
      <c r="F98" s="99">
        <v>38624</v>
      </c>
      <c r="G98" s="100" t="s">
        <v>417</v>
      </c>
      <c r="H98" s="57"/>
      <c r="I98" s="101">
        <f>92+68+90</f>
        <v>250</v>
      </c>
      <c r="J98" s="57">
        <v>300</v>
      </c>
      <c r="K98" s="57">
        <f t="shared" si="3"/>
        <v>0.83333333333333337</v>
      </c>
      <c r="L98" s="101">
        <v>91</v>
      </c>
      <c r="M98" s="102">
        <v>100</v>
      </c>
      <c r="N98" s="103">
        <f t="shared" si="4"/>
        <v>0.91</v>
      </c>
      <c r="O98" s="103" t="s">
        <v>29</v>
      </c>
      <c r="P98" s="57">
        <v>258</v>
      </c>
      <c r="Q98" s="57">
        <v>720</v>
      </c>
      <c r="R98" s="103">
        <f t="shared" si="5"/>
        <v>0.35833333333333334</v>
      </c>
      <c r="S98" s="57">
        <v>1500000</v>
      </c>
      <c r="T98" s="104">
        <v>45980</v>
      </c>
      <c r="U98" s="57">
        <v>4101113371</v>
      </c>
      <c r="V98" s="93"/>
    </row>
    <row r="99" spans="1:22" ht="24.95" customHeight="1" x14ac:dyDescent="0.25">
      <c r="A99" s="94">
        <v>96</v>
      </c>
      <c r="B99" s="57">
        <v>369858</v>
      </c>
      <c r="C99" s="58" t="s">
        <v>1892</v>
      </c>
      <c r="D99" s="100" t="s">
        <v>391</v>
      </c>
      <c r="E99" s="57" t="s">
        <v>1796</v>
      </c>
      <c r="F99" s="104">
        <v>39007</v>
      </c>
      <c r="G99" s="100" t="s">
        <v>417</v>
      </c>
      <c r="H99" s="57"/>
      <c r="I99" s="101">
        <f>70+76+74</f>
        <v>220</v>
      </c>
      <c r="J99" s="102">
        <v>300</v>
      </c>
      <c r="K99" s="103">
        <f t="shared" si="3"/>
        <v>0.73333333333333328</v>
      </c>
      <c r="L99" s="105">
        <v>89</v>
      </c>
      <c r="M99" s="103">
        <v>100</v>
      </c>
      <c r="N99" s="103">
        <f t="shared" si="4"/>
        <v>0.89</v>
      </c>
      <c r="O99" s="103" t="s">
        <v>29</v>
      </c>
      <c r="P99" s="57">
        <v>328</v>
      </c>
      <c r="Q99" s="57">
        <v>720</v>
      </c>
      <c r="R99" s="57">
        <f t="shared" si="5"/>
        <v>0.45555555555555555</v>
      </c>
      <c r="S99" s="57">
        <v>1500000</v>
      </c>
      <c r="T99" s="104">
        <v>45889</v>
      </c>
      <c r="U99" s="57">
        <v>4106110354</v>
      </c>
      <c r="V99" s="93"/>
    </row>
    <row r="100" spans="1:22" ht="24.95" customHeight="1" x14ac:dyDescent="0.25">
      <c r="A100" s="94">
        <v>97</v>
      </c>
      <c r="B100" s="57">
        <v>891680</v>
      </c>
      <c r="C100" s="58" t="s">
        <v>1893</v>
      </c>
      <c r="D100" s="100" t="s">
        <v>397</v>
      </c>
      <c r="E100" s="57" t="s">
        <v>1796</v>
      </c>
      <c r="F100" s="104">
        <v>39391</v>
      </c>
      <c r="G100" s="100" t="s">
        <v>417</v>
      </c>
      <c r="H100" s="100"/>
      <c r="I100" s="101">
        <f>80+66+72</f>
        <v>218</v>
      </c>
      <c r="J100" s="102">
        <v>300</v>
      </c>
      <c r="K100" s="103">
        <f t="shared" si="3"/>
        <v>0.72666666666666668</v>
      </c>
      <c r="L100" s="105">
        <v>70</v>
      </c>
      <c r="M100" s="103">
        <v>100</v>
      </c>
      <c r="N100" s="103">
        <f t="shared" si="4"/>
        <v>0.7</v>
      </c>
      <c r="O100" s="103" t="s">
        <v>29</v>
      </c>
      <c r="P100" s="57">
        <v>181</v>
      </c>
      <c r="Q100" s="57">
        <v>720</v>
      </c>
      <c r="R100" s="57">
        <f t="shared" si="5"/>
        <v>0.25138888888888888</v>
      </c>
      <c r="S100" s="57">
        <v>1500000</v>
      </c>
      <c r="T100" s="104">
        <v>45966</v>
      </c>
      <c r="U100" s="57">
        <v>4131106362</v>
      </c>
      <c r="V100" s="93"/>
    </row>
    <row r="101" spans="1:22" ht="24.95" customHeight="1" x14ac:dyDescent="0.25">
      <c r="A101" s="94">
        <v>98</v>
      </c>
      <c r="B101" s="57">
        <v>441780</v>
      </c>
      <c r="C101" s="58" t="s">
        <v>1894</v>
      </c>
      <c r="D101" s="100" t="s">
        <v>391</v>
      </c>
      <c r="E101" s="57" t="s">
        <v>1796</v>
      </c>
      <c r="F101" s="104">
        <v>38926</v>
      </c>
      <c r="G101" s="100" t="s">
        <v>417</v>
      </c>
      <c r="H101" s="57"/>
      <c r="I101" s="101">
        <f>82+75+79</f>
        <v>236</v>
      </c>
      <c r="J101" s="102">
        <v>300</v>
      </c>
      <c r="K101" s="103">
        <f t="shared" si="3"/>
        <v>0.78666666666666663</v>
      </c>
      <c r="L101" s="105">
        <v>89</v>
      </c>
      <c r="M101" s="103">
        <v>100</v>
      </c>
      <c r="N101" s="103">
        <f t="shared" si="4"/>
        <v>0.89</v>
      </c>
      <c r="O101" s="103" t="s">
        <v>29</v>
      </c>
      <c r="P101" s="57">
        <v>300</v>
      </c>
      <c r="Q101" s="57">
        <v>720</v>
      </c>
      <c r="R101" s="57">
        <f t="shared" si="5"/>
        <v>0.41666666666666669</v>
      </c>
      <c r="S101" s="57">
        <v>1500000</v>
      </c>
      <c r="T101" s="104">
        <v>45889</v>
      </c>
      <c r="U101" s="57">
        <v>4111101187</v>
      </c>
      <c r="V101" s="93"/>
    </row>
    <row r="102" spans="1:22" ht="24.95" customHeight="1" x14ac:dyDescent="0.25">
      <c r="A102" s="94">
        <v>99</v>
      </c>
      <c r="B102" s="57">
        <v>488907</v>
      </c>
      <c r="C102" s="58" t="s">
        <v>1895</v>
      </c>
      <c r="D102" s="100" t="s">
        <v>397</v>
      </c>
      <c r="E102" s="57" t="s">
        <v>1796</v>
      </c>
      <c r="F102" s="104">
        <v>39280</v>
      </c>
      <c r="G102" s="100" t="s">
        <v>417</v>
      </c>
      <c r="H102" s="100"/>
      <c r="I102" s="101">
        <f>66+71+70</f>
        <v>207</v>
      </c>
      <c r="J102" s="102">
        <v>300</v>
      </c>
      <c r="K102" s="103">
        <f t="shared" si="3"/>
        <v>0.69</v>
      </c>
      <c r="L102" s="105">
        <v>87</v>
      </c>
      <c r="M102" s="103">
        <v>100</v>
      </c>
      <c r="N102" s="103">
        <f t="shared" si="4"/>
        <v>0.87</v>
      </c>
      <c r="O102" s="103" t="s">
        <v>29</v>
      </c>
      <c r="P102" s="57">
        <v>285</v>
      </c>
      <c r="Q102" s="57">
        <v>720</v>
      </c>
      <c r="R102" s="57">
        <f t="shared" si="5"/>
        <v>0.39583333333333331</v>
      </c>
      <c r="S102" s="57">
        <v>1500000</v>
      </c>
      <c r="T102" s="104">
        <v>45930</v>
      </c>
      <c r="U102" s="57">
        <v>4108102684</v>
      </c>
      <c r="V102" s="93"/>
    </row>
    <row r="103" spans="1:22" ht="24.95" customHeight="1" x14ac:dyDescent="0.25">
      <c r="A103" s="94">
        <v>100</v>
      </c>
      <c r="B103" s="57">
        <v>526004</v>
      </c>
      <c r="C103" s="78" t="s">
        <v>1896</v>
      </c>
      <c r="D103" s="57" t="s">
        <v>397</v>
      </c>
      <c r="E103" s="57" t="s">
        <v>1796</v>
      </c>
      <c r="F103" s="99">
        <v>38625</v>
      </c>
      <c r="G103" s="100" t="s">
        <v>417</v>
      </c>
      <c r="H103" s="57"/>
      <c r="I103" s="101">
        <f>80+85+85</f>
        <v>250</v>
      </c>
      <c r="J103" s="57">
        <v>300</v>
      </c>
      <c r="K103" s="57">
        <f t="shared" si="3"/>
        <v>0.83333333333333337</v>
      </c>
      <c r="L103" s="101">
        <v>70</v>
      </c>
      <c r="M103" s="102">
        <v>100</v>
      </c>
      <c r="N103" s="103">
        <f t="shared" si="4"/>
        <v>0.7</v>
      </c>
      <c r="O103" s="103" t="s">
        <v>29</v>
      </c>
      <c r="P103" s="57">
        <v>273</v>
      </c>
      <c r="Q103" s="57">
        <v>720</v>
      </c>
      <c r="R103" s="103">
        <f t="shared" si="5"/>
        <v>0.37916666666666665</v>
      </c>
      <c r="S103" s="57">
        <v>1500000</v>
      </c>
      <c r="T103" s="104">
        <v>45966</v>
      </c>
      <c r="U103" s="57">
        <v>4108109351</v>
      </c>
      <c r="V103" s="93"/>
    </row>
    <row r="104" spans="1:22" ht="24.95" customHeight="1" x14ac:dyDescent="0.25">
      <c r="A104" s="94">
        <v>101</v>
      </c>
      <c r="B104" s="57">
        <v>75547</v>
      </c>
      <c r="C104" s="58" t="s">
        <v>1897</v>
      </c>
      <c r="D104" s="100" t="s">
        <v>391</v>
      </c>
      <c r="E104" s="57" t="s">
        <v>1796</v>
      </c>
      <c r="F104" s="104">
        <v>39449</v>
      </c>
      <c r="G104" s="100" t="s">
        <v>392</v>
      </c>
      <c r="H104" s="100"/>
      <c r="I104" s="101">
        <f>83+94+99</f>
        <v>276</v>
      </c>
      <c r="J104" s="102">
        <v>300</v>
      </c>
      <c r="K104" s="103">
        <f t="shared" si="3"/>
        <v>0.92</v>
      </c>
      <c r="L104" s="105">
        <v>97</v>
      </c>
      <c r="M104" s="103">
        <v>100</v>
      </c>
      <c r="N104" s="103">
        <f t="shared" si="4"/>
        <v>0.97</v>
      </c>
      <c r="O104" s="103" t="s">
        <v>29</v>
      </c>
      <c r="P104" s="57">
        <v>481</v>
      </c>
      <c r="Q104" s="57">
        <v>720</v>
      </c>
      <c r="R104" s="103">
        <f t="shared" si="5"/>
        <v>0.66805555555555551</v>
      </c>
      <c r="S104" s="57">
        <v>450000</v>
      </c>
      <c r="T104" s="104">
        <v>45891</v>
      </c>
      <c r="U104" s="105">
        <v>4101102141</v>
      </c>
      <c r="V104" s="93"/>
    </row>
    <row r="105" spans="1:22" ht="24.95" customHeight="1" x14ac:dyDescent="0.25">
      <c r="A105" s="94">
        <v>102</v>
      </c>
      <c r="B105" s="57">
        <v>84539</v>
      </c>
      <c r="C105" s="58" t="s">
        <v>1898</v>
      </c>
      <c r="D105" s="100" t="s">
        <v>391</v>
      </c>
      <c r="E105" s="57" t="s">
        <v>1796</v>
      </c>
      <c r="F105" s="104">
        <v>38659</v>
      </c>
      <c r="G105" s="100" t="s">
        <v>392</v>
      </c>
      <c r="H105" s="57"/>
      <c r="I105" s="101">
        <f>95+100+99</f>
        <v>294</v>
      </c>
      <c r="J105" s="102">
        <v>300</v>
      </c>
      <c r="K105" s="103">
        <f t="shared" si="3"/>
        <v>0.98</v>
      </c>
      <c r="L105" s="105">
        <v>92</v>
      </c>
      <c r="M105" s="103">
        <v>100</v>
      </c>
      <c r="N105" s="103">
        <f t="shared" si="4"/>
        <v>0.92</v>
      </c>
      <c r="O105" s="103" t="s">
        <v>29</v>
      </c>
      <c r="P105" s="57">
        <v>475</v>
      </c>
      <c r="Q105" s="57">
        <v>720</v>
      </c>
      <c r="R105" s="57">
        <f t="shared" si="5"/>
        <v>0.65972222222222221</v>
      </c>
      <c r="S105" s="57">
        <v>450000</v>
      </c>
      <c r="T105" s="104">
        <v>45966</v>
      </c>
      <c r="U105" s="57">
        <v>4103106581</v>
      </c>
      <c r="V105" s="93"/>
    </row>
    <row r="106" spans="1:22" ht="24.95" customHeight="1" x14ac:dyDescent="0.25">
      <c r="A106" s="94">
        <v>103</v>
      </c>
      <c r="B106" s="57">
        <v>1121539</v>
      </c>
      <c r="C106" s="78" t="s">
        <v>1899</v>
      </c>
      <c r="D106" s="57" t="s">
        <v>397</v>
      </c>
      <c r="E106" s="57" t="s">
        <v>1796</v>
      </c>
      <c r="F106" s="79">
        <v>39097</v>
      </c>
      <c r="G106" s="100" t="s">
        <v>417</v>
      </c>
      <c r="H106" s="57"/>
      <c r="I106" s="101">
        <f>63+59+61</f>
        <v>183</v>
      </c>
      <c r="J106" s="57">
        <v>300</v>
      </c>
      <c r="K106" s="57">
        <f t="shared" si="3"/>
        <v>0.61</v>
      </c>
      <c r="L106" s="101">
        <v>79</v>
      </c>
      <c r="M106" s="102">
        <v>100</v>
      </c>
      <c r="N106" s="103">
        <f t="shared" si="4"/>
        <v>0.79</v>
      </c>
      <c r="O106" s="103" t="s">
        <v>29</v>
      </c>
      <c r="P106" s="57">
        <v>140</v>
      </c>
      <c r="Q106" s="57">
        <v>720</v>
      </c>
      <c r="R106" s="103">
        <f t="shared" si="5"/>
        <v>0.19444444444444445</v>
      </c>
      <c r="S106" s="57">
        <v>1500000</v>
      </c>
      <c r="T106" s="104">
        <v>45966</v>
      </c>
      <c r="U106" s="57">
        <v>4112104191</v>
      </c>
      <c r="V106" s="93"/>
    </row>
    <row r="107" spans="1:22" ht="24.95" customHeight="1" x14ac:dyDescent="0.25">
      <c r="A107" s="94">
        <v>104</v>
      </c>
      <c r="B107" s="57">
        <v>261140</v>
      </c>
      <c r="C107" s="78" t="s">
        <v>1900</v>
      </c>
      <c r="D107" s="57" t="s">
        <v>397</v>
      </c>
      <c r="E107" s="57" t="s">
        <v>1796</v>
      </c>
      <c r="F107" s="79">
        <v>38977</v>
      </c>
      <c r="G107" s="100" t="s">
        <v>417</v>
      </c>
      <c r="H107" s="57"/>
      <c r="I107" s="101">
        <f>60+68+88</f>
        <v>216</v>
      </c>
      <c r="J107" s="57">
        <v>300</v>
      </c>
      <c r="K107" s="57">
        <f t="shared" si="3"/>
        <v>0.72</v>
      </c>
      <c r="L107" s="101">
        <v>78</v>
      </c>
      <c r="M107" s="102">
        <v>100</v>
      </c>
      <c r="N107" s="103">
        <f t="shared" si="4"/>
        <v>0.78</v>
      </c>
      <c r="O107" s="103" t="s">
        <v>29</v>
      </c>
      <c r="P107" s="57">
        <v>375</v>
      </c>
      <c r="Q107" s="57">
        <v>720</v>
      </c>
      <c r="R107" s="103">
        <f t="shared" si="5"/>
        <v>0.52083333333333337</v>
      </c>
      <c r="S107" s="57">
        <v>1500000</v>
      </c>
      <c r="T107" s="104">
        <v>45966</v>
      </c>
      <c r="U107" s="57">
        <v>4110109008</v>
      </c>
      <c r="V107" s="93"/>
    </row>
    <row r="108" spans="1:22" ht="24.95" customHeight="1" x14ac:dyDescent="0.25">
      <c r="A108" s="94">
        <v>105</v>
      </c>
      <c r="B108" s="57">
        <v>392248</v>
      </c>
      <c r="C108" s="58" t="s">
        <v>1901</v>
      </c>
      <c r="D108" s="100" t="s">
        <v>391</v>
      </c>
      <c r="E108" s="57" t="s">
        <v>1796</v>
      </c>
      <c r="F108" s="104">
        <v>38633</v>
      </c>
      <c r="G108" s="100" t="s">
        <v>417</v>
      </c>
      <c r="H108" s="57"/>
      <c r="I108" s="101">
        <f>79+70+71</f>
        <v>220</v>
      </c>
      <c r="J108" s="102">
        <v>300</v>
      </c>
      <c r="K108" s="103">
        <f t="shared" si="3"/>
        <v>0.73333333333333328</v>
      </c>
      <c r="L108" s="105">
        <v>87</v>
      </c>
      <c r="M108" s="103">
        <v>100</v>
      </c>
      <c r="N108" s="103">
        <f t="shared" si="4"/>
        <v>0.87</v>
      </c>
      <c r="O108" s="103" t="s">
        <v>29</v>
      </c>
      <c r="P108" s="57">
        <v>319</v>
      </c>
      <c r="Q108" s="57">
        <v>720</v>
      </c>
      <c r="R108" s="57">
        <f t="shared" si="5"/>
        <v>0.44305555555555554</v>
      </c>
      <c r="S108" s="57">
        <v>1500000</v>
      </c>
      <c r="T108" s="104">
        <v>45890</v>
      </c>
      <c r="U108" s="57">
        <v>4122107370</v>
      </c>
      <c r="V108" s="93"/>
    </row>
    <row r="109" spans="1:22" ht="24.95" customHeight="1" x14ac:dyDescent="0.25">
      <c r="A109" s="94">
        <v>106</v>
      </c>
      <c r="B109" s="57"/>
      <c r="C109" s="58" t="s">
        <v>1902</v>
      </c>
      <c r="D109" s="100" t="s">
        <v>391</v>
      </c>
      <c r="E109" s="57" t="s">
        <v>1796</v>
      </c>
      <c r="F109" s="104">
        <v>38611</v>
      </c>
      <c r="G109" s="100" t="s">
        <v>392</v>
      </c>
      <c r="H109" s="57"/>
      <c r="I109" s="101">
        <f>71+84+83</f>
        <v>238</v>
      </c>
      <c r="J109" s="102">
        <v>300</v>
      </c>
      <c r="K109" s="103">
        <f t="shared" si="3"/>
        <v>0.79333333333333333</v>
      </c>
      <c r="L109" s="105">
        <v>75</v>
      </c>
      <c r="M109" s="103">
        <v>100</v>
      </c>
      <c r="N109" s="103">
        <f t="shared" si="4"/>
        <v>0.75</v>
      </c>
      <c r="O109" s="103" t="s">
        <v>29</v>
      </c>
      <c r="P109" s="57">
        <v>475</v>
      </c>
      <c r="Q109" s="57">
        <v>720</v>
      </c>
      <c r="R109" s="57">
        <f t="shared" si="5"/>
        <v>0.65972222222222221</v>
      </c>
      <c r="S109" s="57">
        <v>450000</v>
      </c>
      <c r="T109" s="104">
        <v>45967</v>
      </c>
      <c r="U109" s="57">
        <v>4131102256</v>
      </c>
      <c r="V109" s="93"/>
    </row>
    <row r="110" spans="1:22" ht="24.95" customHeight="1" x14ac:dyDescent="0.25">
      <c r="A110" s="94">
        <v>107</v>
      </c>
      <c r="B110" s="57">
        <v>456535</v>
      </c>
      <c r="C110" s="78" t="s">
        <v>1903</v>
      </c>
      <c r="D110" s="57" t="s">
        <v>391</v>
      </c>
      <c r="E110" s="57" t="s">
        <v>1796</v>
      </c>
      <c r="F110" s="79">
        <v>38957</v>
      </c>
      <c r="G110" s="100" t="s">
        <v>417</v>
      </c>
      <c r="H110" s="57"/>
      <c r="I110" s="101">
        <f>69+87+83</f>
        <v>239</v>
      </c>
      <c r="J110" s="102">
        <v>300</v>
      </c>
      <c r="K110" s="103">
        <f t="shared" si="3"/>
        <v>0.79666666666666663</v>
      </c>
      <c r="L110" s="105">
        <v>87</v>
      </c>
      <c r="M110" s="103">
        <v>100</v>
      </c>
      <c r="N110" s="103">
        <f t="shared" si="4"/>
        <v>0.87</v>
      </c>
      <c r="O110" s="103" t="s">
        <v>29</v>
      </c>
      <c r="P110" s="57">
        <v>295</v>
      </c>
      <c r="Q110" s="57">
        <v>720</v>
      </c>
      <c r="R110" s="57">
        <f t="shared" si="5"/>
        <v>0.40972222222222221</v>
      </c>
      <c r="S110" s="57">
        <v>1500000</v>
      </c>
      <c r="T110" s="104">
        <v>45967</v>
      </c>
      <c r="U110" s="57">
        <v>4102104026</v>
      </c>
      <c r="V110" s="93"/>
    </row>
    <row r="111" spans="1:22" ht="24.95" customHeight="1" x14ac:dyDescent="0.25">
      <c r="A111" s="94">
        <v>108</v>
      </c>
      <c r="B111" s="57">
        <v>714813</v>
      </c>
      <c r="C111" s="78" t="s">
        <v>1904</v>
      </c>
      <c r="D111" s="57" t="s">
        <v>391</v>
      </c>
      <c r="E111" s="57" t="s">
        <v>1796</v>
      </c>
      <c r="F111" s="79">
        <v>38714</v>
      </c>
      <c r="G111" s="100" t="s">
        <v>417</v>
      </c>
      <c r="H111" s="57"/>
      <c r="I111" s="101">
        <f>82+83+79</f>
        <v>244</v>
      </c>
      <c r="J111" s="57">
        <v>300</v>
      </c>
      <c r="K111" s="57">
        <f t="shared" si="3"/>
        <v>0.81333333333333335</v>
      </c>
      <c r="L111" s="101">
        <v>88</v>
      </c>
      <c r="M111" s="102">
        <v>100</v>
      </c>
      <c r="N111" s="103">
        <f t="shared" si="4"/>
        <v>0.88</v>
      </c>
      <c r="O111" s="103" t="s">
        <v>29</v>
      </c>
      <c r="P111" s="57">
        <v>220</v>
      </c>
      <c r="Q111" s="57">
        <v>720</v>
      </c>
      <c r="R111" s="103">
        <f t="shared" si="5"/>
        <v>0.30555555555555558</v>
      </c>
      <c r="S111" s="57">
        <v>1500000</v>
      </c>
      <c r="T111" s="104">
        <v>45966</v>
      </c>
      <c r="U111" s="57">
        <v>4121111054</v>
      </c>
      <c r="V111" s="93"/>
    </row>
    <row r="112" spans="1:22" ht="24.95" customHeight="1" x14ac:dyDescent="0.25">
      <c r="A112" s="94">
        <v>109</v>
      </c>
      <c r="B112" s="57">
        <v>799844</v>
      </c>
      <c r="C112" s="58" t="s">
        <v>1905</v>
      </c>
      <c r="D112" s="100" t="s">
        <v>391</v>
      </c>
      <c r="E112" s="57" t="s">
        <v>1796</v>
      </c>
      <c r="F112" s="104">
        <v>39064</v>
      </c>
      <c r="G112" s="100" t="s">
        <v>417</v>
      </c>
      <c r="H112" s="57"/>
      <c r="I112" s="101">
        <f>62+58+80</f>
        <v>200</v>
      </c>
      <c r="J112" s="102">
        <v>300</v>
      </c>
      <c r="K112" s="103">
        <f t="shared" si="3"/>
        <v>0.66666666666666663</v>
      </c>
      <c r="L112" s="105">
        <v>76</v>
      </c>
      <c r="M112" s="103">
        <v>100</v>
      </c>
      <c r="N112" s="103">
        <f t="shared" si="4"/>
        <v>0.76</v>
      </c>
      <c r="O112" s="103" t="s">
        <v>29</v>
      </c>
      <c r="P112" s="57">
        <v>200</v>
      </c>
      <c r="Q112" s="57">
        <v>720</v>
      </c>
      <c r="R112" s="57">
        <f t="shared" si="5"/>
        <v>0.27777777777777779</v>
      </c>
      <c r="S112" s="57">
        <v>1500000</v>
      </c>
      <c r="T112" s="104">
        <v>45969</v>
      </c>
      <c r="U112" s="57">
        <v>4122109169</v>
      </c>
      <c r="V112" s="93"/>
    </row>
    <row r="113" spans="1:22" ht="24.95" customHeight="1" x14ac:dyDescent="0.25">
      <c r="A113" s="94">
        <v>110</v>
      </c>
      <c r="B113" s="57">
        <v>73899</v>
      </c>
      <c r="C113" s="58" t="s">
        <v>1906</v>
      </c>
      <c r="D113" s="100" t="s">
        <v>391</v>
      </c>
      <c r="E113" s="57" t="s">
        <v>1796</v>
      </c>
      <c r="F113" s="104">
        <v>38115</v>
      </c>
      <c r="G113" s="100" t="s">
        <v>392</v>
      </c>
      <c r="H113" s="57"/>
      <c r="I113" s="101">
        <f>86.81+91.67+80.53</f>
        <v>259.01</v>
      </c>
      <c r="J113" s="102">
        <v>300</v>
      </c>
      <c r="K113" s="103">
        <f t="shared" si="3"/>
        <v>0.86336666666666662</v>
      </c>
      <c r="L113" s="105">
        <v>89</v>
      </c>
      <c r="M113" s="103">
        <v>100</v>
      </c>
      <c r="N113" s="103">
        <f t="shared" si="4"/>
        <v>0.89</v>
      </c>
      <c r="O113" s="103" t="s">
        <v>29</v>
      </c>
      <c r="P113" s="57">
        <v>482</v>
      </c>
      <c r="Q113" s="57">
        <v>720</v>
      </c>
      <c r="R113" s="57">
        <f t="shared" si="5"/>
        <v>0.6694444444444444</v>
      </c>
      <c r="S113" s="57">
        <v>450000</v>
      </c>
      <c r="T113" s="104">
        <v>45890</v>
      </c>
      <c r="U113" s="57">
        <v>4120102358</v>
      </c>
      <c r="V113" s="93"/>
    </row>
    <row r="114" spans="1:22" ht="24.95" customHeight="1" x14ac:dyDescent="0.25">
      <c r="A114" s="94">
        <v>111</v>
      </c>
      <c r="B114" s="57">
        <v>63104</v>
      </c>
      <c r="C114" s="58" t="s">
        <v>1907</v>
      </c>
      <c r="D114" s="100" t="s">
        <v>391</v>
      </c>
      <c r="E114" s="57" t="s">
        <v>1796</v>
      </c>
      <c r="F114" s="104">
        <v>38361</v>
      </c>
      <c r="G114" s="100" t="s">
        <v>392</v>
      </c>
      <c r="H114" s="57"/>
      <c r="I114" s="101">
        <f>98+96+98</f>
        <v>292</v>
      </c>
      <c r="J114" s="102">
        <v>300</v>
      </c>
      <c r="K114" s="103">
        <f t="shared" si="3"/>
        <v>0.97333333333333338</v>
      </c>
      <c r="L114" s="105">
        <v>96</v>
      </c>
      <c r="M114" s="103">
        <v>100</v>
      </c>
      <c r="N114" s="103">
        <f t="shared" si="4"/>
        <v>0.96</v>
      </c>
      <c r="O114" s="103" t="s">
        <v>29</v>
      </c>
      <c r="P114" s="57">
        <v>491</v>
      </c>
      <c r="Q114" s="57">
        <v>720</v>
      </c>
      <c r="R114" s="57">
        <f t="shared" si="5"/>
        <v>0.68194444444444446</v>
      </c>
      <c r="S114" s="57">
        <v>450000</v>
      </c>
      <c r="T114" s="104">
        <v>45889</v>
      </c>
      <c r="U114" s="57">
        <v>4109114658</v>
      </c>
      <c r="V114" s="93"/>
    </row>
    <row r="115" spans="1:22" ht="24.95" customHeight="1" x14ac:dyDescent="0.25">
      <c r="A115" s="94">
        <v>112</v>
      </c>
      <c r="B115" s="57">
        <v>856434</v>
      </c>
      <c r="C115" s="78" t="s">
        <v>295</v>
      </c>
      <c r="D115" s="57" t="s">
        <v>391</v>
      </c>
      <c r="E115" s="57" t="s">
        <v>1796</v>
      </c>
      <c r="F115" s="79">
        <v>39371</v>
      </c>
      <c r="G115" s="100" t="s">
        <v>417</v>
      </c>
      <c r="H115" s="57"/>
      <c r="I115" s="101">
        <f>59+59+70</f>
        <v>188</v>
      </c>
      <c r="J115" s="57">
        <v>300</v>
      </c>
      <c r="K115" s="57">
        <f t="shared" si="3"/>
        <v>0.62666666666666671</v>
      </c>
      <c r="L115" s="101">
        <v>82</v>
      </c>
      <c r="M115" s="102">
        <v>100</v>
      </c>
      <c r="N115" s="103">
        <f t="shared" si="4"/>
        <v>0.82</v>
      </c>
      <c r="O115" s="103" t="s">
        <v>29</v>
      </c>
      <c r="P115" s="57">
        <v>188</v>
      </c>
      <c r="Q115" s="57">
        <v>720</v>
      </c>
      <c r="R115" s="103">
        <f t="shared" si="5"/>
        <v>0.26111111111111113</v>
      </c>
      <c r="S115" s="57">
        <v>1500000</v>
      </c>
      <c r="T115" s="104">
        <v>45966</v>
      </c>
      <c r="U115" s="57">
        <v>4110108190</v>
      </c>
      <c r="V115" s="93"/>
    </row>
    <row r="116" spans="1:22" ht="24.95" customHeight="1" x14ac:dyDescent="0.25">
      <c r="A116" s="94">
        <v>113</v>
      </c>
      <c r="B116" s="57">
        <v>429113</v>
      </c>
      <c r="C116" s="58" t="s">
        <v>1908</v>
      </c>
      <c r="D116" s="100" t="s">
        <v>391</v>
      </c>
      <c r="E116" s="57" t="s">
        <v>1796</v>
      </c>
      <c r="F116" s="104">
        <v>39011</v>
      </c>
      <c r="G116" s="100" t="s">
        <v>417</v>
      </c>
      <c r="H116" s="100"/>
      <c r="I116" s="101">
        <f>65+65+82</f>
        <v>212</v>
      </c>
      <c r="J116" s="102">
        <v>300</v>
      </c>
      <c r="K116" s="103">
        <f t="shared" si="3"/>
        <v>0.70666666666666667</v>
      </c>
      <c r="L116" s="105">
        <v>92</v>
      </c>
      <c r="M116" s="103">
        <v>100</v>
      </c>
      <c r="N116" s="103">
        <f t="shared" si="4"/>
        <v>0.92</v>
      </c>
      <c r="O116" s="103" t="s">
        <v>29</v>
      </c>
      <c r="P116" s="57">
        <v>305</v>
      </c>
      <c r="Q116" s="57">
        <v>720</v>
      </c>
      <c r="R116" s="57">
        <f t="shared" si="5"/>
        <v>0.4236111111111111</v>
      </c>
      <c r="S116" s="57">
        <v>1500000</v>
      </c>
      <c r="T116" s="104">
        <v>45894</v>
      </c>
      <c r="U116" s="57">
        <v>4101407409</v>
      </c>
      <c r="V116" s="93"/>
    </row>
    <row r="117" spans="1:22" ht="24.95" customHeight="1" x14ac:dyDescent="0.25">
      <c r="A117" s="94">
        <v>114</v>
      </c>
      <c r="B117" s="106">
        <v>886739</v>
      </c>
      <c r="C117" s="78" t="s">
        <v>1909</v>
      </c>
      <c r="D117" s="57" t="s">
        <v>391</v>
      </c>
      <c r="E117" s="57" t="s">
        <v>1796</v>
      </c>
      <c r="F117" s="79">
        <v>39283</v>
      </c>
      <c r="G117" s="100" t="s">
        <v>417</v>
      </c>
      <c r="H117" s="57"/>
      <c r="I117" s="101">
        <f>73+84+79</f>
        <v>236</v>
      </c>
      <c r="J117" s="57">
        <v>300</v>
      </c>
      <c r="K117" s="57">
        <f t="shared" si="3"/>
        <v>0.78666666666666663</v>
      </c>
      <c r="L117" s="101">
        <v>79</v>
      </c>
      <c r="M117" s="102">
        <v>100</v>
      </c>
      <c r="N117" s="103">
        <f t="shared" si="4"/>
        <v>0.79</v>
      </c>
      <c r="O117" s="103" t="s">
        <v>29</v>
      </c>
      <c r="P117" s="57">
        <v>182</v>
      </c>
      <c r="Q117" s="57">
        <v>720</v>
      </c>
      <c r="R117" s="103">
        <f t="shared" si="5"/>
        <v>0.25277777777777777</v>
      </c>
      <c r="S117" s="57">
        <v>1500000</v>
      </c>
      <c r="T117" s="104">
        <v>45968</v>
      </c>
      <c r="U117" s="57">
        <v>4114106450</v>
      </c>
      <c r="V117" s="93"/>
    </row>
    <row r="118" spans="1:22" ht="24.95" customHeight="1" x14ac:dyDescent="0.25">
      <c r="A118" s="94">
        <v>115</v>
      </c>
      <c r="B118" s="57">
        <v>57639</v>
      </c>
      <c r="C118" s="58" t="s">
        <v>1910</v>
      </c>
      <c r="D118" s="100" t="s">
        <v>391</v>
      </c>
      <c r="E118" s="57" t="s">
        <v>1796</v>
      </c>
      <c r="F118" s="104">
        <v>38580</v>
      </c>
      <c r="G118" s="100" t="s">
        <v>392</v>
      </c>
      <c r="H118" s="57"/>
      <c r="I118" s="101">
        <f>99+100+98</f>
        <v>297</v>
      </c>
      <c r="J118" s="102">
        <v>300</v>
      </c>
      <c r="K118" s="103">
        <f t="shared" si="3"/>
        <v>0.99</v>
      </c>
      <c r="L118" s="105">
        <v>99</v>
      </c>
      <c r="M118" s="103">
        <v>100</v>
      </c>
      <c r="N118" s="103">
        <f t="shared" si="4"/>
        <v>0.99</v>
      </c>
      <c r="O118" s="103" t="s">
        <v>29</v>
      </c>
      <c r="P118" s="57">
        <v>495</v>
      </c>
      <c r="Q118" s="57">
        <v>720</v>
      </c>
      <c r="R118" s="57">
        <f t="shared" si="5"/>
        <v>0.6875</v>
      </c>
      <c r="S118" s="57">
        <v>450000</v>
      </c>
      <c r="T118" s="104">
        <v>45891</v>
      </c>
      <c r="U118" s="57">
        <v>4120109420</v>
      </c>
      <c r="V118" s="93"/>
    </row>
    <row r="119" spans="1:22" ht="24.95" customHeight="1" x14ac:dyDescent="0.25">
      <c r="A119" s="94">
        <v>116</v>
      </c>
      <c r="B119" s="57">
        <v>442163</v>
      </c>
      <c r="C119" s="58" t="s">
        <v>1911</v>
      </c>
      <c r="D119" s="100" t="s">
        <v>391</v>
      </c>
      <c r="E119" s="57" t="s">
        <v>1796</v>
      </c>
      <c r="F119" s="104">
        <v>38792</v>
      </c>
      <c r="G119" s="100" t="s">
        <v>417</v>
      </c>
      <c r="H119" s="57"/>
      <c r="I119" s="101">
        <f>58+67+84</f>
        <v>209</v>
      </c>
      <c r="J119" s="102">
        <v>300</v>
      </c>
      <c r="K119" s="103">
        <f t="shared" si="3"/>
        <v>0.69666666666666666</v>
      </c>
      <c r="L119" s="105">
        <v>85</v>
      </c>
      <c r="M119" s="103">
        <v>100</v>
      </c>
      <c r="N119" s="103">
        <f t="shared" si="4"/>
        <v>0.85</v>
      </c>
      <c r="O119" s="103" t="s">
        <v>29</v>
      </c>
      <c r="P119" s="57">
        <v>300</v>
      </c>
      <c r="Q119" s="57">
        <v>720</v>
      </c>
      <c r="R119" s="57">
        <f t="shared" si="5"/>
        <v>0.41666666666666669</v>
      </c>
      <c r="S119" s="57">
        <v>1500000</v>
      </c>
      <c r="T119" s="104">
        <v>45926</v>
      </c>
      <c r="U119" s="57">
        <v>4102101275</v>
      </c>
      <c r="V119" s="93"/>
    </row>
    <row r="120" spans="1:22" ht="24.95" customHeight="1" x14ac:dyDescent="0.25">
      <c r="A120" s="94">
        <v>117</v>
      </c>
      <c r="B120" s="57">
        <v>62380</v>
      </c>
      <c r="C120" s="58" t="s">
        <v>1912</v>
      </c>
      <c r="D120" s="100" t="s">
        <v>391</v>
      </c>
      <c r="E120" s="57" t="s">
        <v>1796</v>
      </c>
      <c r="F120" s="104">
        <v>38636</v>
      </c>
      <c r="G120" s="100" t="s">
        <v>392</v>
      </c>
      <c r="H120" s="100"/>
      <c r="I120" s="101">
        <f>86+95+93</f>
        <v>274</v>
      </c>
      <c r="J120" s="102">
        <v>300</v>
      </c>
      <c r="K120" s="103">
        <f t="shared" si="3"/>
        <v>0.91333333333333333</v>
      </c>
      <c r="L120" s="105">
        <v>95</v>
      </c>
      <c r="M120" s="103">
        <v>100</v>
      </c>
      <c r="N120" s="103">
        <f t="shared" si="4"/>
        <v>0.95</v>
      </c>
      <c r="O120" s="103" t="s">
        <v>29</v>
      </c>
      <c r="P120" s="57">
        <v>491</v>
      </c>
      <c r="Q120" s="57">
        <v>720</v>
      </c>
      <c r="R120" s="57">
        <f t="shared" si="5"/>
        <v>0.68194444444444446</v>
      </c>
      <c r="S120" s="57">
        <v>450000</v>
      </c>
      <c r="T120" s="104">
        <v>45926</v>
      </c>
      <c r="U120" s="57">
        <v>4108113055</v>
      </c>
      <c r="V120" s="93"/>
    </row>
    <row r="121" spans="1:22" ht="24.95" customHeight="1" x14ac:dyDescent="0.25">
      <c r="A121" s="94">
        <v>118</v>
      </c>
      <c r="B121" s="57">
        <v>1247214</v>
      </c>
      <c r="C121" s="58" t="s">
        <v>1913</v>
      </c>
      <c r="D121" s="100" t="s">
        <v>391</v>
      </c>
      <c r="E121" s="57" t="s">
        <v>1796</v>
      </c>
      <c r="F121" s="104">
        <v>38845</v>
      </c>
      <c r="G121" s="100" t="s">
        <v>417</v>
      </c>
      <c r="H121" s="57"/>
      <c r="I121" s="101">
        <f>69+61+62</f>
        <v>192</v>
      </c>
      <c r="J121" s="102">
        <v>300</v>
      </c>
      <c r="K121" s="103">
        <f t="shared" si="3"/>
        <v>0.64</v>
      </c>
      <c r="L121" s="105">
        <v>83</v>
      </c>
      <c r="M121" s="103">
        <v>100</v>
      </c>
      <c r="N121" s="103">
        <f t="shared" si="4"/>
        <v>0.83</v>
      </c>
      <c r="O121" s="103" t="s">
        <v>29</v>
      </c>
      <c r="P121" s="57">
        <v>122</v>
      </c>
      <c r="Q121" s="57">
        <v>720</v>
      </c>
      <c r="R121" s="57">
        <f t="shared" si="5"/>
        <v>0.16944444444444445</v>
      </c>
      <c r="S121" s="57">
        <v>1500000</v>
      </c>
      <c r="T121" s="104">
        <v>45966</v>
      </c>
      <c r="U121" s="57">
        <v>4108105147</v>
      </c>
      <c r="V121" s="93"/>
    </row>
    <row r="122" spans="1:22" ht="24.95" customHeight="1" x14ac:dyDescent="0.25">
      <c r="A122" s="94">
        <v>119</v>
      </c>
      <c r="B122" s="57">
        <v>407262</v>
      </c>
      <c r="C122" s="58" t="s">
        <v>1914</v>
      </c>
      <c r="D122" s="100" t="s">
        <v>391</v>
      </c>
      <c r="E122" s="57" t="s">
        <v>1796</v>
      </c>
      <c r="F122" s="104">
        <v>38497</v>
      </c>
      <c r="G122" s="100" t="s">
        <v>417</v>
      </c>
      <c r="H122" s="57"/>
      <c r="I122" s="101">
        <f>67+75+68</f>
        <v>210</v>
      </c>
      <c r="J122" s="102">
        <v>300</v>
      </c>
      <c r="K122" s="103">
        <f t="shared" si="3"/>
        <v>0.7</v>
      </c>
      <c r="L122" s="105">
        <v>86</v>
      </c>
      <c r="M122" s="103">
        <v>100</v>
      </c>
      <c r="N122" s="103">
        <f t="shared" si="4"/>
        <v>0.86</v>
      </c>
      <c r="O122" s="103" t="s">
        <v>29</v>
      </c>
      <c r="P122" s="57">
        <v>313</v>
      </c>
      <c r="Q122" s="57">
        <v>720</v>
      </c>
      <c r="R122" s="57">
        <f t="shared" si="5"/>
        <v>0.43472222222222223</v>
      </c>
      <c r="S122" s="57">
        <v>1500000</v>
      </c>
      <c r="T122" s="104">
        <v>45892</v>
      </c>
      <c r="U122" s="57">
        <v>4114102564</v>
      </c>
      <c r="V122" s="93"/>
    </row>
    <row r="123" spans="1:22" ht="24.95" customHeight="1" x14ac:dyDescent="0.25">
      <c r="A123" s="94">
        <v>120</v>
      </c>
      <c r="B123" s="57">
        <v>152748</v>
      </c>
      <c r="C123" s="58" t="s">
        <v>1915</v>
      </c>
      <c r="D123" s="100" t="s">
        <v>391</v>
      </c>
      <c r="E123" s="57" t="s">
        <v>1796</v>
      </c>
      <c r="F123" s="104">
        <v>39058</v>
      </c>
      <c r="G123" s="100" t="s">
        <v>1813</v>
      </c>
      <c r="H123" s="57"/>
      <c r="I123" s="101">
        <f>84+92+95</f>
        <v>271</v>
      </c>
      <c r="J123" s="102">
        <v>300</v>
      </c>
      <c r="K123" s="103">
        <f t="shared" si="3"/>
        <v>0.90333333333333332</v>
      </c>
      <c r="L123" s="105">
        <v>65</v>
      </c>
      <c r="M123" s="103">
        <v>100</v>
      </c>
      <c r="N123" s="103">
        <f t="shared" si="4"/>
        <v>0.65</v>
      </c>
      <c r="O123" s="103" t="s">
        <v>29</v>
      </c>
      <c r="P123" s="57">
        <v>431</v>
      </c>
      <c r="Q123" s="57">
        <v>720</v>
      </c>
      <c r="R123" s="57">
        <f t="shared" si="5"/>
        <v>0.59861111111111109</v>
      </c>
      <c r="S123" s="57" t="s">
        <v>1814</v>
      </c>
      <c r="T123" s="104">
        <v>45875</v>
      </c>
      <c r="U123" s="57">
        <v>4129103265</v>
      </c>
      <c r="V123" s="93"/>
    </row>
    <row r="124" spans="1:22" ht="24.95" customHeight="1" x14ac:dyDescent="0.25">
      <c r="A124" s="94">
        <v>121</v>
      </c>
      <c r="B124" s="57">
        <v>307013</v>
      </c>
      <c r="C124" s="58" t="s">
        <v>1916</v>
      </c>
      <c r="D124" s="100" t="s">
        <v>397</v>
      </c>
      <c r="E124" s="57" t="s">
        <v>1796</v>
      </c>
      <c r="F124" s="104">
        <v>39255</v>
      </c>
      <c r="G124" s="100" t="s">
        <v>417</v>
      </c>
      <c r="H124" s="57"/>
      <c r="I124" s="101">
        <f>63+76+66</f>
        <v>205</v>
      </c>
      <c r="J124" s="102">
        <v>300</v>
      </c>
      <c r="K124" s="103">
        <f t="shared" si="3"/>
        <v>0.68333333333333335</v>
      </c>
      <c r="L124" s="105">
        <v>78</v>
      </c>
      <c r="M124" s="103">
        <v>100</v>
      </c>
      <c r="N124" s="103">
        <f t="shared" si="4"/>
        <v>0.78</v>
      </c>
      <c r="O124" s="103" t="s">
        <v>29</v>
      </c>
      <c r="P124" s="57">
        <v>354</v>
      </c>
      <c r="Q124" s="57">
        <v>720</v>
      </c>
      <c r="R124" s="57">
        <f t="shared" si="5"/>
        <v>0.49166666666666664</v>
      </c>
      <c r="S124" s="57">
        <v>1500000</v>
      </c>
      <c r="T124" s="104">
        <v>45891</v>
      </c>
      <c r="U124" s="57">
        <v>4121108142</v>
      </c>
      <c r="V124" s="93"/>
    </row>
    <row r="125" spans="1:22" ht="24.95" customHeight="1" x14ac:dyDescent="0.25">
      <c r="A125" s="94">
        <v>122</v>
      </c>
      <c r="B125" s="57">
        <v>1063647</v>
      </c>
      <c r="C125" s="78" t="s">
        <v>1917</v>
      </c>
      <c r="D125" s="57" t="s">
        <v>397</v>
      </c>
      <c r="E125" s="57" t="s">
        <v>1796</v>
      </c>
      <c r="F125" s="99">
        <v>39419</v>
      </c>
      <c r="G125" s="100" t="s">
        <v>417</v>
      </c>
      <c r="H125" s="57"/>
      <c r="I125" s="101">
        <f>59+77+61</f>
        <v>197</v>
      </c>
      <c r="J125" s="57">
        <v>300</v>
      </c>
      <c r="K125" s="57">
        <f t="shared" si="3"/>
        <v>0.65666666666666662</v>
      </c>
      <c r="L125" s="101">
        <v>71</v>
      </c>
      <c r="M125" s="102">
        <v>100</v>
      </c>
      <c r="N125" s="103">
        <f t="shared" si="4"/>
        <v>0.71</v>
      </c>
      <c r="O125" s="103" t="s">
        <v>29</v>
      </c>
      <c r="P125" s="57">
        <v>150</v>
      </c>
      <c r="Q125" s="57">
        <v>720</v>
      </c>
      <c r="R125" s="103">
        <f t="shared" si="5"/>
        <v>0.20833333333333334</v>
      </c>
      <c r="S125" s="57">
        <v>1500000</v>
      </c>
      <c r="T125" s="104">
        <v>45980</v>
      </c>
      <c r="U125" s="57">
        <v>4101302114</v>
      </c>
      <c r="V125" s="93"/>
    </row>
    <row r="126" spans="1:22" ht="24.95" customHeight="1" x14ac:dyDescent="0.25">
      <c r="A126" s="94">
        <v>123</v>
      </c>
      <c r="B126" s="57">
        <v>445411</v>
      </c>
      <c r="C126" s="58" t="s">
        <v>1918</v>
      </c>
      <c r="D126" s="100" t="s">
        <v>391</v>
      </c>
      <c r="E126" s="57" t="s">
        <v>1796</v>
      </c>
      <c r="F126" s="104">
        <v>39093</v>
      </c>
      <c r="G126" s="100" t="s">
        <v>417</v>
      </c>
      <c r="H126" s="57"/>
      <c r="I126" s="101">
        <f>75+71+80</f>
        <v>226</v>
      </c>
      <c r="J126" s="102">
        <v>300</v>
      </c>
      <c r="K126" s="103">
        <f t="shared" si="3"/>
        <v>0.7533333333333333</v>
      </c>
      <c r="L126" s="105">
        <v>90</v>
      </c>
      <c r="M126" s="103">
        <v>100</v>
      </c>
      <c r="N126" s="103">
        <f t="shared" si="4"/>
        <v>0.9</v>
      </c>
      <c r="O126" s="103" t="s">
        <v>29</v>
      </c>
      <c r="P126" s="57">
        <v>299</v>
      </c>
      <c r="Q126" s="57">
        <v>720</v>
      </c>
      <c r="R126" s="57">
        <f t="shared" si="5"/>
        <v>0.4152777777777778</v>
      </c>
      <c r="S126" s="57">
        <v>1500000</v>
      </c>
      <c r="T126" s="104">
        <v>45926</v>
      </c>
      <c r="U126" s="57">
        <v>4109116221</v>
      </c>
      <c r="V126" s="93"/>
    </row>
    <row r="127" spans="1:22" ht="24.95" customHeight="1" x14ac:dyDescent="0.25">
      <c r="A127" s="94">
        <v>124</v>
      </c>
      <c r="B127" s="57">
        <v>431699</v>
      </c>
      <c r="C127" s="58" t="s">
        <v>1919</v>
      </c>
      <c r="D127" s="100" t="s">
        <v>391</v>
      </c>
      <c r="E127" s="57" t="s">
        <v>1796</v>
      </c>
      <c r="F127" s="104">
        <v>38661</v>
      </c>
      <c r="G127" s="100" t="s">
        <v>417</v>
      </c>
      <c r="H127" s="57"/>
      <c r="I127" s="101">
        <f>86+81+88</f>
        <v>255</v>
      </c>
      <c r="J127" s="102">
        <v>300</v>
      </c>
      <c r="K127" s="103">
        <f t="shared" si="3"/>
        <v>0.85</v>
      </c>
      <c r="L127" s="105">
        <v>94</v>
      </c>
      <c r="M127" s="103">
        <v>100</v>
      </c>
      <c r="N127" s="103">
        <f t="shared" si="4"/>
        <v>0.94</v>
      </c>
      <c r="O127" s="103" t="s">
        <v>29</v>
      </c>
      <c r="P127" s="57">
        <v>304</v>
      </c>
      <c r="Q127" s="57">
        <v>720</v>
      </c>
      <c r="R127" s="57">
        <f t="shared" si="5"/>
        <v>0.42222222222222222</v>
      </c>
      <c r="S127" s="57">
        <v>1500000</v>
      </c>
      <c r="T127" s="104">
        <v>45891</v>
      </c>
      <c r="U127" s="57">
        <v>4101209399</v>
      </c>
      <c r="V127" s="93"/>
    </row>
    <row r="128" spans="1:22" ht="24.95" customHeight="1" x14ac:dyDescent="0.25">
      <c r="A128" s="94">
        <v>125</v>
      </c>
      <c r="B128" s="57">
        <v>227099</v>
      </c>
      <c r="C128" s="58" t="s">
        <v>1920</v>
      </c>
      <c r="D128" s="100" t="s">
        <v>391</v>
      </c>
      <c r="E128" s="57" t="s">
        <v>1796</v>
      </c>
      <c r="F128" s="104">
        <v>39482</v>
      </c>
      <c r="G128" s="100" t="s">
        <v>417</v>
      </c>
      <c r="H128" s="57"/>
      <c r="I128" s="101">
        <f>80+84+87</f>
        <v>251</v>
      </c>
      <c r="J128" s="102">
        <v>300</v>
      </c>
      <c r="K128" s="103">
        <f t="shared" si="3"/>
        <v>0.83666666666666667</v>
      </c>
      <c r="L128" s="105">
        <v>79</v>
      </c>
      <c r="M128" s="103">
        <v>100</v>
      </c>
      <c r="N128" s="103">
        <f t="shared" si="4"/>
        <v>0.79</v>
      </c>
      <c r="O128" s="103" t="s">
        <v>29</v>
      </c>
      <c r="P128" s="57">
        <v>391</v>
      </c>
      <c r="Q128" s="57">
        <v>720</v>
      </c>
      <c r="R128" s="57">
        <f t="shared" si="5"/>
        <v>0.54305555555555551</v>
      </c>
      <c r="S128" s="57">
        <v>1500000</v>
      </c>
      <c r="T128" s="104">
        <v>45889</v>
      </c>
      <c r="U128" s="57">
        <v>4131107404</v>
      </c>
      <c r="V128" s="93"/>
    </row>
    <row r="129" spans="1:22" ht="24.95" customHeight="1" x14ac:dyDescent="0.25">
      <c r="A129" s="94">
        <v>126</v>
      </c>
      <c r="B129" s="57">
        <v>494276</v>
      </c>
      <c r="C129" s="108" t="s">
        <v>1921</v>
      </c>
      <c r="D129" s="57" t="s">
        <v>397</v>
      </c>
      <c r="E129" s="57" t="s">
        <v>1796</v>
      </c>
      <c r="F129" s="109">
        <v>38683</v>
      </c>
      <c r="G129" s="100" t="s">
        <v>417</v>
      </c>
      <c r="H129" s="57"/>
      <c r="I129" s="101">
        <f>72+87+93</f>
        <v>252</v>
      </c>
      <c r="J129" s="57">
        <v>300</v>
      </c>
      <c r="K129" s="57">
        <f t="shared" si="3"/>
        <v>0.84</v>
      </c>
      <c r="L129" s="101">
        <v>72</v>
      </c>
      <c r="M129" s="102">
        <v>100</v>
      </c>
      <c r="N129" s="103">
        <f t="shared" si="4"/>
        <v>0.72</v>
      </c>
      <c r="O129" s="103" t="s">
        <v>29</v>
      </c>
      <c r="P129" s="57">
        <v>283</v>
      </c>
      <c r="Q129" s="57">
        <v>720</v>
      </c>
      <c r="R129" s="103">
        <f t="shared" si="5"/>
        <v>0.39305555555555555</v>
      </c>
      <c r="S129" s="57">
        <v>1500000</v>
      </c>
      <c r="T129" s="104">
        <v>45981</v>
      </c>
      <c r="U129" s="57">
        <v>4103108239</v>
      </c>
      <c r="V129" s="93"/>
    </row>
    <row r="130" spans="1:22" ht="24.95" customHeight="1" x14ac:dyDescent="0.25">
      <c r="A130" s="94">
        <v>127</v>
      </c>
      <c r="B130" s="57">
        <v>291122</v>
      </c>
      <c r="C130" s="78" t="s">
        <v>1922</v>
      </c>
      <c r="D130" s="57" t="s">
        <v>391</v>
      </c>
      <c r="E130" s="57" t="s">
        <v>1796</v>
      </c>
      <c r="F130" s="79">
        <v>39366</v>
      </c>
      <c r="G130" s="100" t="s">
        <v>417</v>
      </c>
      <c r="H130" s="57"/>
      <c r="I130" s="101">
        <f>89+95+97</f>
        <v>281</v>
      </c>
      <c r="J130" s="57">
        <v>300</v>
      </c>
      <c r="K130" s="57">
        <f t="shared" si="3"/>
        <v>0.93666666666666665</v>
      </c>
      <c r="L130" s="101">
        <v>96</v>
      </c>
      <c r="M130" s="102">
        <v>100</v>
      </c>
      <c r="N130" s="103">
        <f t="shared" si="4"/>
        <v>0.96</v>
      </c>
      <c r="O130" s="103" t="s">
        <v>29</v>
      </c>
      <c r="P130" s="57">
        <v>361</v>
      </c>
      <c r="Q130" s="57">
        <v>720</v>
      </c>
      <c r="R130" s="103">
        <f t="shared" si="5"/>
        <v>0.50138888888888888</v>
      </c>
      <c r="S130" s="57">
        <v>1500000</v>
      </c>
      <c r="T130" s="104">
        <v>45968</v>
      </c>
      <c r="U130" s="57">
        <v>4101108439</v>
      </c>
      <c r="V130" s="93"/>
    </row>
    <row r="131" spans="1:22" ht="24.95" customHeight="1" x14ac:dyDescent="0.25">
      <c r="A131" s="94">
        <v>128</v>
      </c>
      <c r="B131" s="57">
        <v>274885</v>
      </c>
      <c r="C131" s="58" t="s">
        <v>1923</v>
      </c>
      <c r="D131" s="100" t="s">
        <v>397</v>
      </c>
      <c r="E131" s="57" t="s">
        <v>1796</v>
      </c>
      <c r="F131" s="104">
        <v>38075</v>
      </c>
      <c r="G131" s="100" t="s">
        <v>417</v>
      </c>
      <c r="H131" s="100"/>
      <c r="I131" s="101">
        <f>87.14+92.29+84.29</f>
        <v>263.72000000000003</v>
      </c>
      <c r="J131" s="102">
        <v>300</v>
      </c>
      <c r="K131" s="103">
        <f t="shared" si="3"/>
        <v>0.87906666666666677</v>
      </c>
      <c r="L131" s="105">
        <v>87.78</v>
      </c>
      <c r="M131" s="103">
        <v>100</v>
      </c>
      <c r="N131" s="103">
        <f t="shared" si="4"/>
        <v>0.87780000000000002</v>
      </c>
      <c r="O131" s="103" t="s">
        <v>29</v>
      </c>
      <c r="P131" s="57">
        <v>369</v>
      </c>
      <c r="Q131" s="57">
        <v>720</v>
      </c>
      <c r="R131" s="57">
        <f t="shared" si="5"/>
        <v>0.51249999999999996</v>
      </c>
      <c r="S131" s="57">
        <v>1500000</v>
      </c>
      <c r="T131" s="104">
        <v>45968</v>
      </c>
      <c r="U131" s="57">
        <v>4108112029</v>
      </c>
      <c r="V131" s="93"/>
    </row>
    <row r="132" spans="1:22" ht="24.95" customHeight="1" x14ac:dyDescent="0.25">
      <c r="A132" s="94">
        <v>129</v>
      </c>
      <c r="B132" s="57">
        <v>70638</v>
      </c>
      <c r="C132" s="58" t="s">
        <v>1924</v>
      </c>
      <c r="D132" s="100" t="s">
        <v>391</v>
      </c>
      <c r="E132" s="57" t="s">
        <v>1796</v>
      </c>
      <c r="F132" s="104">
        <v>39216</v>
      </c>
      <c r="G132" s="100" t="s">
        <v>392</v>
      </c>
      <c r="H132" s="100"/>
      <c r="I132" s="101">
        <f>88+95+94</f>
        <v>277</v>
      </c>
      <c r="J132" s="102">
        <v>300</v>
      </c>
      <c r="K132" s="103">
        <f t="shared" ref="K132:K195" si="6">I132/300</f>
        <v>0.92333333333333334</v>
      </c>
      <c r="L132" s="105">
        <v>96</v>
      </c>
      <c r="M132" s="103">
        <v>100</v>
      </c>
      <c r="N132" s="103">
        <f t="shared" ref="N132:N195" si="7">L132/100</f>
        <v>0.96</v>
      </c>
      <c r="O132" s="103" t="s">
        <v>29</v>
      </c>
      <c r="P132" s="57">
        <v>485</v>
      </c>
      <c r="Q132" s="57">
        <v>720</v>
      </c>
      <c r="R132" s="57">
        <f t="shared" ref="R132:R195" si="8">P132/720</f>
        <v>0.67361111111111116</v>
      </c>
      <c r="S132" s="57">
        <v>450000</v>
      </c>
      <c r="T132" s="104">
        <v>45927</v>
      </c>
      <c r="U132" s="57">
        <v>4129102406</v>
      </c>
      <c r="V132" s="93"/>
    </row>
    <row r="133" spans="1:22" ht="24.95" customHeight="1" x14ac:dyDescent="0.25">
      <c r="A133" s="94">
        <v>130</v>
      </c>
      <c r="B133" s="57">
        <v>445851</v>
      </c>
      <c r="C133" s="58" t="s">
        <v>1925</v>
      </c>
      <c r="D133" s="100" t="s">
        <v>391</v>
      </c>
      <c r="E133" s="57" t="s">
        <v>1796</v>
      </c>
      <c r="F133" s="104">
        <v>39403</v>
      </c>
      <c r="G133" s="100" t="s">
        <v>417</v>
      </c>
      <c r="H133" s="57"/>
      <c r="I133" s="101">
        <f>89+90+78</f>
        <v>257</v>
      </c>
      <c r="J133" s="102">
        <v>300</v>
      </c>
      <c r="K133" s="103">
        <f t="shared" si="6"/>
        <v>0.85666666666666669</v>
      </c>
      <c r="L133" s="105">
        <v>94</v>
      </c>
      <c r="M133" s="103">
        <v>100</v>
      </c>
      <c r="N133" s="103">
        <f t="shared" si="7"/>
        <v>0.94</v>
      </c>
      <c r="O133" s="103" t="s">
        <v>29</v>
      </c>
      <c r="P133" s="57">
        <v>299</v>
      </c>
      <c r="Q133" s="57">
        <v>720</v>
      </c>
      <c r="R133" s="57">
        <f t="shared" si="8"/>
        <v>0.4152777777777778</v>
      </c>
      <c r="S133" s="57">
        <v>1500000</v>
      </c>
      <c r="T133" s="104">
        <v>45926</v>
      </c>
      <c r="U133" s="57">
        <v>4131109134</v>
      </c>
      <c r="V133" s="93"/>
    </row>
    <row r="134" spans="1:22" ht="24.95" customHeight="1" x14ac:dyDescent="0.25">
      <c r="A134" s="94">
        <v>131</v>
      </c>
      <c r="B134" s="57">
        <v>279436</v>
      </c>
      <c r="C134" s="78" t="s">
        <v>1926</v>
      </c>
      <c r="D134" s="57" t="s">
        <v>391</v>
      </c>
      <c r="E134" s="57" t="s">
        <v>1796</v>
      </c>
      <c r="F134" s="79">
        <v>38875</v>
      </c>
      <c r="G134" s="100" t="s">
        <v>417</v>
      </c>
      <c r="H134" s="57"/>
      <c r="I134" s="101">
        <f>72+80+82</f>
        <v>234</v>
      </c>
      <c r="J134" s="57">
        <v>300</v>
      </c>
      <c r="K134" s="57">
        <f t="shared" si="6"/>
        <v>0.78</v>
      </c>
      <c r="L134" s="101">
        <v>88</v>
      </c>
      <c r="M134" s="102">
        <v>100</v>
      </c>
      <c r="N134" s="103">
        <f t="shared" si="7"/>
        <v>0.88</v>
      </c>
      <c r="O134" s="103" t="s">
        <v>29</v>
      </c>
      <c r="P134" s="57">
        <v>366</v>
      </c>
      <c r="Q134" s="57">
        <v>720</v>
      </c>
      <c r="R134" s="103">
        <f t="shared" si="8"/>
        <v>0.5083333333333333</v>
      </c>
      <c r="S134" s="57">
        <v>1500000</v>
      </c>
      <c r="T134" s="104">
        <v>45968</v>
      </c>
      <c r="U134" s="57">
        <v>4202102186</v>
      </c>
      <c r="V134" s="93"/>
    </row>
    <row r="135" spans="1:22" ht="24.95" customHeight="1" x14ac:dyDescent="0.25">
      <c r="A135" s="94">
        <v>132</v>
      </c>
      <c r="B135" s="57">
        <v>833978</v>
      </c>
      <c r="C135" s="78" t="s">
        <v>1927</v>
      </c>
      <c r="D135" s="57" t="s">
        <v>397</v>
      </c>
      <c r="E135" s="57" t="s">
        <v>1796</v>
      </c>
      <c r="F135" s="99">
        <v>38875</v>
      </c>
      <c r="G135" s="100" t="s">
        <v>417</v>
      </c>
      <c r="H135" s="57"/>
      <c r="I135" s="101">
        <f>63+70+83</f>
        <v>216</v>
      </c>
      <c r="J135" s="57">
        <v>300</v>
      </c>
      <c r="K135" s="57">
        <f t="shared" si="6"/>
        <v>0.72</v>
      </c>
      <c r="L135" s="101">
        <v>94</v>
      </c>
      <c r="M135" s="102">
        <v>100</v>
      </c>
      <c r="N135" s="103">
        <f t="shared" si="7"/>
        <v>0.94</v>
      </c>
      <c r="O135" s="103" t="s">
        <v>29</v>
      </c>
      <c r="P135" s="57">
        <v>193</v>
      </c>
      <c r="Q135" s="57">
        <v>720</v>
      </c>
      <c r="R135" s="103">
        <f t="shared" si="8"/>
        <v>0.26805555555555555</v>
      </c>
      <c r="S135" s="57">
        <v>1500000</v>
      </c>
      <c r="T135" s="104">
        <v>45966</v>
      </c>
      <c r="U135" s="57">
        <v>4115105183</v>
      </c>
      <c r="V135" s="93"/>
    </row>
    <row r="136" spans="1:22" ht="24.95" customHeight="1" x14ac:dyDescent="0.25">
      <c r="A136" s="94">
        <v>133</v>
      </c>
      <c r="B136" s="57">
        <v>749093</v>
      </c>
      <c r="C136" s="78" t="s">
        <v>1928</v>
      </c>
      <c r="D136" s="57" t="s">
        <v>391</v>
      </c>
      <c r="E136" s="57" t="s">
        <v>1796</v>
      </c>
      <c r="F136" s="79">
        <v>39148</v>
      </c>
      <c r="G136" s="100" t="s">
        <v>417</v>
      </c>
      <c r="H136" s="57"/>
      <c r="I136" s="101">
        <f>73+79+66</f>
        <v>218</v>
      </c>
      <c r="J136" s="102">
        <v>300</v>
      </c>
      <c r="K136" s="103">
        <f t="shared" si="6"/>
        <v>0.72666666666666668</v>
      </c>
      <c r="L136" s="105">
        <v>84</v>
      </c>
      <c r="M136" s="103">
        <v>100</v>
      </c>
      <c r="N136" s="103">
        <f t="shared" si="7"/>
        <v>0.84</v>
      </c>
      <c r="O136" s="103" t="s">
        <v>29</v>
      </c>
      <c r="P136" s="57">
        <v>212</v>
      </c>
      <c r="Q136" s="57">
        <v>720</v>
      </c>
      <c r="R136" s="57">
        <f t="shared" si="8"/>
        <v>0.29444444444444445</v>
      </c>
      <c r="S136" s="57">
        <v>1500000</v>
      </c>
      <c r="T136" s="104">
        <v>45967</v>
      </c>
      <c r="U136" s="57">
        <v>4122107302</v>
      </c>
      <c r="V136" s="93"/>
    </row>
    <row r="137" spans="1:22" ht="24.95" customHeight="1" x14ac:dyDescent="0.25">
      <c r="A137" s="94">
        <v>134</v>
      </c>
      <c r="B137" s="57">
        <v>76991</v>
      </c>
      <c r="C137" s="58" t="s">
        <v>1929</v>
      </c>
      <c r="D137" s="100" t="s">
        <v>397</v>
      </c>
      <c r="E137" s="57" t="s">
        <v>1796</v>
      </c>
      <c r="F137" s="104">
        <v>39079</v>
      </c>
      <c r="G137" s="100" t="s">
        <v>392</v>
      </c>
      <c r="H137" s="57"/>
      <c r="I137" s="101">
        <f>96+99+96</f>
        <v>291</v>
      </c>
      <c r="J137" s="102">
        <v>300</v>
      </c>
      <c r="K137" s="103">
        <f t="shared" si="6"/>
        <v>0.97</v>
      </c>
      <c r="L137" s="105">
        <v>89</v>
      </c>
      <c r="M137" s="103">
        <v>100</v>
      </c>
      <c r="N137" s="103">
        <f t="shared" si="7"/>
        <v>0.89</v>
      </c>
      <c r="O137" s="103" t="s">
        <v>29</v>
      </c>
      <c r="P137" s="57">
        <v>480</v>
      </c>
      <c r="Q137" s="57">
        <v>720</v>
      </c>
      <c r="R137" s="57">
        <f t="shared" si="8"/>
        <v>0.66666666666666663</v>
      </c>
      <c r="S137" s="57">
        <v>450000</v>
      </c>
      <c r="T137" s="104">
        <v>45928</v>
      </c>
      <c r="U137" s="57">
        <v>4112108058</v>
      </c>
      <c r="V137" s="93"/>
    </row>
    <row r="138" spans="1:22" ht="24.95" customHeight="1" x14ac:dyDescent="0.25">
      <c r="A138" s="94">
        <v>135</v>
      </c>
      <c r="B138" s="57">
        <v>150913</v>
      </c>
      <c r="C138" s="78" t="s">
        <v>1930</v>
      </c>
      <c r="D138" s="57" t="s">
        <v>397</v>
      </c>
      <c r="E138" s="57" t="s">
        <v>1796</v>
      </c>
      <c r="F138" s="99">
        <v>38853</v>
      </c>
      <c r="G138" s="100" t="s">
        <v>417</v>
      </c>
      <c r="H138" s="57"/>
      <c r="I138" s="101">
        <f>77+79+93</f>
        <v>249</v>
      </c>
      <c r="J138" s="57">
        <v>300</v>
      </c>
      <c r="K138" s="57">
        <f t="shared" si="6"/>
        <v>0.83</v>
      </c>
      <c r="L138" s="101">
        <v>87</v>
      </c>
      <c r="M138" s="102">
        <v>100</v>
      </c>
      <c r="N138" s="103">
        <f t="shared" si="7"/>
        <v>0.87</v>
      </c>
      <c r="O138" s="103" t="s">
        <v>29</v>
      </c>
      <c r="P138" s="57">
        <v>432</v>
      </c>
      <c r="Q138" s="57">
        <v>720</v>
      </c>
      <c r="R138" s="103">
        <f t="shared" si="8"/>
        <v>0.6</v>
      </c>
      <c r="S138" s="57">
        <v>1500000</v>
      </c>
      <c r="T138" s="104">
        <v>45966</v>
      </c>
      <c r="U138" s="57">
        <v>4113108300</v>
      </c>
      <c r="V138" s="93"/>
    </row>
    <row r="139" spans="1:22" ht="24.95" customHeight="1" x14ac:dyDescent="0.25">
      <c r="A139" s="94">
        <v>136</v>
      </c>
      <c r="B139" s="57">
        <v>73997</v>
      </c>
      <c r="C139" s="58" t="s">
        <v>1931</v>
      </c>
      <c r="D139" s="100" t="s">
        <v>391</v>
      </c>
      <c r="E139" s="57" t="s">
        <v>1796</v>
      </c>
      <c r="F139" s="104">
        <v>38903</v>
      </c>
      <c r="G139" s="100" t="s">
        <v>392</v>
      </c>
      <c r="H139" s="57"/>
      <c r="I139" s="101">
        <f>94+96+85</f>
        <v>275</v>
      </c>
      <c r="J139" s="102">
        <v>300</v>
      </c>
      <c r="K139" s="103">
        <f t="shared" si="6"/>
        <v>0.91666666666666663</v>
      </c>
      <c r="L139" s="105">
        <v>91</v>
      </c>
      <c r="M139" s="103">
        <v>100</v>
      </c>
      <c r="N139" s="103">
        <f t="shared" si="7"/>
        <v>0.91</v>
      </c>
      <c r="O139" s="103" t="s">
        <v>29</v>
      </c>
      <c r="P139" s="57">
        <v>482</v>
      </c>
      <c r="Q139" s="57">
        <v>720</v>
      </c>
      <c r="R139" s="57">
        <f t="shared" si="8"/>
        <v>0.6694444444444444</v>
      </c>
      <c r="S139" s="57">
        <v>450000</v>
      </c>
      <c r="T139" s="104">
        <v>45966</v>
      </c>
      <c r="U139" s="57">
        <v>4121107062</v>
      </c>
      <c r="V139" s="93"/>
    </row>
    <row r="140" spans="1:22" ht="24.95" customHeight="1" x14ac:dyDescent="0.25">
      <c r="A140" s="94">
        <v>137</v>
      </c>
      <c r="B140" s="57">
        <v>82408</v>
      </c>
      <c r="C140" s="78" t="s">
        <v>783</v>
      </c>
      <c r="D140" s="57" t="s">
        <v>391</v>
      </c>
      <c r="E140" s="57" t="s">
        <v>1796</v>
      </c>
      <c r="F140" s="99">
        <v>39229</v>
      </c>
      <c r="G140" s="100" t="s">
        <v>392</v>
      </c>
      <c r="H140" s="57"/>
      <c r="I140" s="101">
        <f>83+95+98</f>
        <v>276</v>
      </c>
      <c r="J140" s="57">
        <v>300</v>
      </c>
      <c r="K140" s="57">
        <f t="shared" si="6"/>
        <v>0.92</v>
      </c>
      <c r="L140" s="101">
        <v>95</v>
      </c>
      <c r="M140" s="102">
        <v>100</v>
      </c>
      <c r="N140" s="103">
        <f t="shared" si="7"/>
        <v>0.95</v>
      </c>
      <c r="O140" s="103" t="s">
        <v>29</v>
      </c>
      <c r="P140" s="57">
        <v>476</v>
      </c>
      <c r="Q140" s="57">
        <v>720</v>
      </c>
      <c r="R140" s="103">
        <f t="shared" si="8"/>
        <v>0.66111111111111109</v>
      </c>
      <c r="S140" s="57">
        <v>450000</v>
      </c>
      <c r="T140" s="104">
        <v>45968</v>
      </c>
      <c r="U140" s="57">
        <v>4108109352</v>
      </c>
      <c r="V140" s="93"/>
    </row>
    <row r="141" spans="1:22" ht="24.95" customHeight="1" x14ac:dyDescent="0.25">
      <c r="A141" s="94">
        <v>138</v>
      </c>
      <c r="B141" s="57">
        <v>79702</v>
      </c>
      <c r="C141" s="78" t="s">
        <v>1932</v>
      </c>
      <c r="D141" s="57" t="s">
        <v>397</v>
      </c>
      <c r="E141" s="57" t="s">
        <v>1796</v>
      </c>
      <c r="F141" s="79">
        <v>39367</v>
      </c>
      <c r="G141" s="100" t="s">
        <v>392</v>
      </c>
      <c r="H141" s="57"/>
      <c r="I141" s="101">
        <f>86+97+90</f>
        <v>273</v>
      </c>
      <c r="J141" s="57">
        <v>300</v>
      </c>
      <c r="K141" s="57">
        <f t="shared" si="6"/>
        <v>0.91</v>
      </c>
      <c r="L141" s="101">
        <v>90</v>
      </c>
      <c r="M141" s="102">
        <v>100</v>
      </c>
      <c r="N141" s="103">
        <f t="shared" si="7"/>
        <v>0.9</v>
      </c>
      <c r="O141" s="103" t="s">
        <v>29</v>
      </c>
      <c r="P141" s="57">
        <v>478</v>
      </c>
      <c r="Q141" s="57">
        <v>720</v>
      </c>
      <c r="R141" s="103">
        <f t="shared" si="8"/>
        <v>0.66388888888888886</v>
      </c>
      <c r="S141" s="57">
        <v>450000</v>
      </c>
      <c r="T141" s="104">
        <v>45966</v>
      </c>
      <c r="U141" s="57">
        <v>4121110387</v>
      </c>
      <c r="V141" s="93"/>
    </row>
    <row r="142" spans="1:22" ht="24.95" customHeight="1" x14ac:dyDescent="0.25">
      <c r="A142" s="94">
        <v>139</v>
      </c>
      <c r="B142" s="57">
        <v>535919</v>
      </c>
      <c r="C142" s="78" t="s">
        <v>1933</v>
      </c>
      <c r="D142" s="57" t="s">
        <v>391</v>
      </c>
      <c r="E142" s="57" t="s">
        <v>1796</v>
      </c>
      <c r="F142" s="79">
        <v>39432</v>
      </c>
      <c r="G142" s="100" t="s">
        <v>417</v>
      </c>
      <c r="H142" s="57"/>
      <c r="I142" s="101">
        <f>70+77+72</f>
        <v>219</v>
      </c>
      <c r="J142" s="57">
        <v>300</v>
      </c>
      <c r="K142" s="57">
        <f t="shared" si="6"/>
        <v>0.73</v>
      </c>
      <c r="L142" s="101">
        <v>84</v>
      </c>
      <c r="M142" s="102">
        <v>100</v>
      </c>
      <c r="N142" s="103">
        <f t="shared" si="7"/>
        <v>0.84</v>
      </c>
      <c r="O142" s="103" t="s">
        <v>29</v>
      </c>
      <c r="P142" s="57">
        <v>270</v>
      </c>
      <c r="Q142" s="57">
        <v>720</v>
      </c>
      <c r="R142" s="103">
        <f t="shared" si="8"/>
        <v>0.375</v>
      </c>
      <c r="S142" s="57">
        <v>1500000</v>
      </c>
      <c r="T142" s="104">
        <v>45966</v>
      </c>
      <c r="U142" s="57">
        <v>4101305405</v>
      </c>
      <c r="V142" s="93"/>
    </row>
    <row r="143" spans="1:22" ht="24.95" customHeight="1" x14ac:dyDescent="0.25">
      <c r="A143" s="94">
        <v>140</v>
      </c>
      <c r="B143" s="57">
        <v>81785</v>
      </c>
      <c r="C143" s="78" t="s">
        <v>1934</v>
      </c>
      <c r="D143" s="57" t="s">
        <v>391</v>
      </c>
      <c r="E143" s="57" t="s">
        <v>1796</v>
      </c>
      <c r="F143" s="99">
        <v>39258</v>
      </c>
      <c r="G143" s="100" t="s">
        <v>392</v>
      </c>
      <c r="H143" s="57"/>
      <c r="I143" s="101">
        <f>85+92+89</f>
        <v>266</v>
      </c>
      <c r="J143" s="57">
        <v>300</v>
      </c>
      <c r="K143" s="57">
        <f t="shared" si="6"/>
        <v>0.88666666666666671</v>
      </c>
      <c r="L143" s="101">
        <v>86</v>
      </c>
      <c r="M143" s="102">
        <v>100</v>
      </c>
      <c r="N143" s="103">
        <f t="shared" si="7"/>
        <v>0.86</v>
      </c>
      <c r="O143" s="103" t="s">
        <v>29</v>
      </c>
      <c r="P143" s="57">
        <v>477</v>
      </c>
      <c r="Q143" s="57">
        <v>720</v>
      </c>
      <c r="R143" s="103">
        <f t="shared" si="8"/>
        <v>0.66249999999999998</v>
      </c>
      <c r="S143" s="57">
        <v>450000</v>
      </c>
      <c r="T143" s="104">
        <v>45968</v>
      </c>
      <c r="U143" s="57">
        <v>4131104509</v>
      </c>
      <c r="V143" s="93"/>
    </row>
    <row r="144" spans="1:22" ht="24.95" customHeight="1" x14ac:dyDescent="0.25">
      <c r="A144" s="94">
        <v>141</v>
      </c>
      <c r="B144" s="57">
        <v>65327</v>
      </c>
      <c r="C144" s="58" t="s">
        <v>1935</v>
      </c>
      <c r="D144" s="100" t="s">
        <v>397</v>
      </c>
      <c r="E144" s="57" t="s">
        <v>1796</v>
      </c>
      <c r="F144" s="104">
        <v>38949</v>
      </c>
      <c r="G144" s="100" t="s">
        <v>392</v>
      </c>
      <c r="H144" s="57"/>
      <c r="I144" s="101">
        <f>87+97+96</f>
        <v>280</v>
      </c>
      <c r="J144" s="102">
        <v>300</v>
      </c>
      <c r="K144" s="103">
        <f t="shared" si="6"/>
        <v>0.93333333333333335</v>
      </c>
      <c r="L144" s="105">
        <v>91</v>
      </c>
      <c r="M144" s="103">
        <v>100</v>
      </c>
      <c r="N144" s="103">
        <f t="shared" si="7"/>
        <v>0.91</v>
      </c>
      <c r="O144" s="103" t="s">
        <v>29</v>
      </c>
      <c r="P144" s="57">
        <v>489</v>
      </c>
      <c r="Q144" s="57">
        <v>720</v>
      </c>
      <c r="R144" s="57">
        <f t="shared" si="8"/>
        <v>0.6791666666666667</v>
      </c>
      <c r="S144" s="57">
        <v>450000</v>
      </c>
      <c r="T144" s="104">
        <v>45927</v>
      </c>
      <c r="U144" s="57">
        <v>4125105427</v>
      </c>
      <c r="V144" s="93"/>
    </row>
    <row r="145" spans="1:22" ht="24.95" customHeight="1" x14ac:dyDescent="0.25">
      <c r="A145" s="94">
        <v>142</v>
      </c>
      <c r="B145" s="57">
        <v>380763</v>
      </c>
      <c r="C145" s="58" t="s">
        <v>1936</v>
      </c>
      <c r="D145" s="100" t="s">
        <v>397</v>
      </c>
      <c r="E145" s="57" t="s">
        <v>1796</v>
      </c>
      <c r="F145" s="104">
        <v>37847</v>
      </c>
      <c r="G145" s="100" t="s">
        <v>417</v>
      </c>
      <c r="H145" s="57"/>
      <c r="I145" s="101">
        <f>73.21+75.79+76.64</f>
        <v>225.64</v>
      </c>
      <c r="J145" s="102">
        <v>300</v>
      </c>
      <c r="K145" s="103">
        <f t="shared" si="6"/>
        <v>0.75213333333333332</v>
      </c>
      <c r="L145" s="105">
        <v>84.39</v>
      </c>
      <c r="M145" s="103">
        <v>100</v>
      </c>
      <c r="N145" s="103">
        <f t="shared" si="7"/>
        <v>0.84389999999999998</v>
      </c>
      <c r="O145" s="103" t="s">
        <v>29</v>
      </c>
      <c r="P145" s="57">
        <v>323</v>
      </c>
      <c r="Q145" s="57">
        <v>720</v>
      </c>
      <c r="R145" s="57">
        <f t="shared" si="8"/>
        <v>0.44861111111111113</v>
      </c>
      <c r="S145" s="57">
        <v>1500000</v>
      </c>
      <c r="T145" s="104">
        <v>45890</v>
      </c>
      <c r="U145" s="57">
        <v>4101102331</v>
      </c>
      <c r="V145" s="93"/>
    </row>
    <row r="146" spans="1:22" ht="24.95" customHeight="1" x14ac:dyDescent="0.25">
      <c r="A146" s="94">
        <v>143</v>
      </c>
      <c r="B146" s="57">
        <v>919365</v>
      </c>
      <c r="C146" s="78" t="s">
        <v>1937</v>
      </c>
      <c r="D146" s="57" t="s">
        <v>391</v>
      </c>
      <c r="E146" s="57" t="s">
        <v>1796</v>
      </c>
      <c r="F146" s="99">
        <v>38782</v>
      </c>
      <c r="G146" s="100" t="s">
        <v>417</v>
      </c>
      <c r="H146" s="57"/>
      <c r="I146" s="101">
        <f>65+63+84</f>
        <v>212</v>
      </c>
      <c r="J146" s="57">
        <v>300</v>
      </c>
      <c r="K146" s="57">
        <f t="shared" si="6"/>
        <v>0.70666666666666667</v>
      </c>
      <c r="L146" s="101">
        <v>85</v>
      </c>
      <c r="M146" s="102">
        <v>100</v>
      </c>
      <c r="N146" s="103">
        <f t="shared" si="7"/>
        <v>0.85</v>
      </c>
      <c r="O146" s="103" t="s">
        <v>29</v>
      </c>
      <c r="P146" s="57">
        <v>175</v>
      </c>
      <c r="Q146" s="57">
        <v>720</v>
      </c>
      <c r="R146" s="103">
        <f t="shared" si="8"/>
        <v>0.24305555555555555</v>
      </c>
      <c r="S146" s="57">
        <v>1500000</v>
      </c>
      <c r="T146" s="104">
        <v>45968</v>
      </c>
      <c r="U146" s="57">
        <v>2712404126</v>
      </c>
      <c r="V146" s="93"/>
    </row>
    <row r="147" spans="1:22" ht="24.95" customHeight="1" x14ac:dyDescent="0.25">
      <c r="A147" s="94">
        <v>144</v>
      </c>
      <c r="B147" s="57">
        <v>871081</v>
      </c>
      <c r="C147" s="78" t="s">
        <v>1938</v>
      </c>
      <c r="D147" s="57" t="s">
        <v>391</v>
      </c>
      <c r="E147" s="57" t="s">
        <v>1796</v>
      </c>
      <c r="F147" s="79">
        <v>38584</v>
      </c>
      <c r="G147" s="100" t="s">
        <v>417</v>
      </c>
      <c r="H147" s="57"/>
      <c r="I147" s="101">
        <f>56+60+78</f>
        <v>194</v>
      </c>
      <c r="J147" s="57">
        <v>300</v>
      </c>
      <c r="K147" s="57">
        <f t="shared" si="6"/>
        <v>0.64666666666666661</v>
      </c>
      <c r="L147" s="101">
        <v>82</v>
      </c>
      <c r="M147" s="102">
        <v>100</v>
      </c>
      <c r="N147" s="103">
        <f t="shared" si="7"/>
        <v>0.82</v>
      </c>
      <c r="O147" s="103" t="s">
        <v>29</v>
      </c>
      <c r="P147" s="57">
        <v>185</v>
      </c>
      <c r="Q147" s="57">
        <v>720</v>
      </c>
      <c r="R147" s="103">
        <f t="shared" si="8"/>
        <v>0.25694444444444442</v>
      </c>
      <c r="S147" s="57">
        <v>1500000</v>
      </c>
      <c r="T147" s="104">
        <v>45968</v>
      </c>
      <c r="U147" s="57">
        <v>4114106462</v>
      </c>
      <c r="V147" s="93"/>
    </row>
    <row r="148" spans="1:22" ht="24.95" customHeight="1" x14ac:dyDescent="0.25">
      <c r="A148" s="94">
        <v>145</v>
      </c>
      <c r="B148" s="57">
        <v>162524</v>
      </c>
      <c r="C148" s="78" t="s">
        <v>1939</v>
      </c>
      <c r="D148" s="57" t="s">
        <v>391</v>
      </c>
      <c r="E148" s="57" t="s">
        <v>1796</v>
      </c>
      <c r="F148" s="99">
        <v>38831</v>
      </c>
      <c r="G148" s="100" t="s">
        <v>1940</v>
      </c>
      <c r="H148" s="57"/>
      <c r="I148" s="101">
        <f>93+97+94</f>
        <v>284</v>
      </c>
      <c r="J148" s="57">
        <v>300</v>
      </c>
      <c r="K148" s="57">
        <f t="shared" si="6"/>
        <v>0.94666666666666666</v>
      </c>
      <c r="L148" s="101">
        <v>79</v>
      </c>
      <c r="M148" s="102">
        <v>100</v>
      </c>
      <c r="N148" s="103">
        <f t="shared" si="7"/>
        <v>0.79</v>
      </c>
      <c r="O148" s="103" t="s">
        <v>29</v>
      </c>
      <c r="P148" s="57">
        <v>426</v>
      </c>
      <c r="Q148" s="57">
        <v>720</v>
      </c>
      <c r="R148" s="103">
        <f t="shared" si="8"/>
        <v>0.59166666666666667</v>
      </c>
      <c r="S148" s="57" t="s">
        <v>1814</v>
      </c>
      <c r="T148" s="104">
        <v>45968</v>
      </c>
      <c r="U148" s="57">
        <v>4104105323</v>
      </c>
      <c r="V148" s="93"/>
    </row>
    <row r="149" spans="1:22" ht="24.95" customHeight="1" x14ac:dyDescent="0.25">
      <c r="A149" s="94">
        <v>146</v>
      </c>
      <c r="B149" s="57">
        <v>66038</v>
      </c>
      <c r="C149" s="58" t="s">
        <v>1941</v>
      </c>
      <c r="D149" s="100" t="s">
        <v>391</v>
      </c>
      <c r="E149" s="57" t="s">
        <v>1796</v>
      </c>
      <c r="F149" s="104">
        <v>38452</v>
      </c>
      <c r="G149" s="100" t="s">
        <v>392</v>
      </c>
      <c r="H149" s="57"/>
      <c r="I149" s="101">
        <f>78+76+77</f>
        <v>231</v>
      </c>
      <c r="J149" s="102">
        <v>300</v>
      </c>
      <c r="K149" s="103">
        <f t="shared" si="6"/>
        <v>0.77</v>
      </c>
      <c r="L149" s="105">
        <v>89</v>
      </c>
      <c r="M149" s="103">
        <v>100</v>
      </c>
      <c r="N149" s="103">
        <f t="shared" si="7"/>
        <v>0.89</v>
      </c>
      <c r="O149" s="103" t="s">
        <v>29</v>
      </c>
      <c r="P149" s="57">
        <v>488</v>
      </c>
      <c r="Q149" s="57">
        <v>720</v>
      </c>
      <c r="R149" s="57">
        <f t="shared" si="8"/>
        <v>0.67777777777777781</v>
      </c>
      <c r="S149" s="57">
        <v>450000</v>
      </c>
      <c r="T149" s="104">
        <v>45928</v>
      </c>
      <c r="U149" s="57">
        <v>4108103054</v>
      </c>
      <c r="V149" s="93"/>
    </row>
    <row r="150" spans="1:22" ht="24.95" customHeight="1" x14ac:dyDescent="0.25">
      <c r="A150" s="94">
        <v>147</v>
      </c>
      <c r="B150" s="57">
        <v>356445</v>
      </c>
      <c r="C150" s="58" t="s">
        <v>1942</v>
      </c>
      <c r="D150" s="100" t="s">
        <v>397</v>
      </c>
      <c r="E150" s="57" t="s">
        <v>1796</v>
      </c>
      <c r="F150" s="104">
        <v>39161</v>
      </c>
      <c r="G150" s="100" t="s">
        <v>417</v>
      </c>
      <c r="H150" s="100"/>
      <c r="I150" s="101">
        <f>80+90+87</f>
        <v>257</v>
      </c>
      <c r="J150" s="102">
        <v>300</v>
      </c>
      <c r="K150" s="103">
        <f t="shared" si="6"/>
        <v>0.85666666666666669</v>
      </c>
      <c r="L150" s="105">
        <v>84</v>
      </c>
      <c r="M150" s="103">
        <v>100</v>
      </c>
      <c r="N150" s="103">
        <f t="shared" si="7"/>
        <v>0.84</v>
      </c>
      <c r="O150" s="103" t="s">
        <v>29</v>
      </c>
      <c r="P150" s="57">
        <v>333</v>
      </c>
      <c r="Q150" s="57">
        <v>720</v>
      </c>
      <c r="R150" s="57">
        <f t="shared" si="8"/>
        <v>0.46250000000000002</v>
      </c>
      <c r="S150" s="57">
        <v>1500000</v>
      </c>
      <c r="T150" s="104">
        <v>45871</v>
      </c>
      <c r="U150" s="57">
        <v>4108103035</v>
      </c>
      <c r="V150" s="93"/>
    </row>
    <row r="151" spans="1:22" ht="24.95" customHeight="1" x14ac:dyDescent="0.25">
      <c r="A151" s="94">
        <v>148</v>
      </c>
      <c r="B151" s="57">
        <v>181346</v>
      </c>
      <c r="C151" s="58" t="s">
        <v>1943</v>
      </c>
      <c r="D151" s="100" t="s">
        <v>391</v>
      </c>
      <c r="E151" s="57" t="s">
        <v>1796</v>
      </c>
      <c r="F151" s="104">
        <v>38844</v>
      </c>
      <c r="G151" s="100" t="s">
        <v>392</v>
      </c>
      <c r="H151" s="57"/>
      <c r="I151" s="101">
        <f>79+87+97</f>
        <v>263</v>
      </c>
      <c r="J151" s="102">
        <v>300</v>
      </c>
      <c r="K151" s="103">
        <f t="shared" si="6"/>
        <v>0.87666666666666671</v>
      </c>
      <c r="L151" s="105">
        <v>79</v>
      </c>
      <c r="M151" s="103">
        <v>100</v>
      </c>
      <c r="N151" s="103">
        <f t="shared" si="7"/>
        <v>0.79</v>
      </c>
      <c r="O151" s="103" t="s">
        <v>29</v>
      </c>
      <c r="P151" s="57">
        <v>415</v>
      </c>
      <c r="Q151" s="57">
        <v>720</v>
      </c>
      <c r="R151" s="57">
        <f t="shared" si="8"/>
        <v>0.57638888888888884</v>
      </c>
      <c r="S151" s="57">
        <v>450000</v>
      </c>
      <c r="T151" s="104">
        <v>45967</v>
      </c>
      <c r="U151" s="57">
        <v>4131107069</v>
      </c>
      <c r="V151" s="93"/>
    </row>
    <row r="152" spans="1:22" ht="24.95" customHeight="1" x14ac:dyDescent="0.25">
      <c r="A152" s="94">
        <v>149</v>
      </c>
      <c r="B152" s="57">
        <v>193419</v>
      </c>
      <c r="C152" s="58" t="s">
        <v>1944</v>
      </c>
      <c r="D152" s="100" t="s">
        <v>397</v>
      </c>
      <c r="E152" s="57" t="s">
        <v>1796</v>
      </c>
      <c r="F152" s="104">
        <v>39041</v>
      </c>
      <c r="G152" s="100" t="s">
        <v>417</v>
      </c>
      <c r="H152" s="100"/>
      <c r="I152" s="101">
        <f>63+73+75</f>
        <v>211</v>
      </c>
      <c r="J152" s="102">
        <v>300</v>
      </c>
      <c r="K152" s="103">
        <f t="shared" si="6"/>
        <v>0.70333333333333337</v>
      </c>
      <c r="L152" s="105">
        <v>84</v>
      </c>
      <c r="M152" s="103">
        <v>100</v>
      </c>
      <c r="N152" s="103">
        <f t="shared" si="7"/>
        <v>0.84</v>
      </c>
      <c r="O152" s="103" t="s">
        <v>29</v>
      </c>
      <c r="P152" s="57">
        <v>409</v>
      </c>
      <c r="Q152" s="57">
        <v>720</v>
      </c>
      <c r="R152" s="57">
        <f t="shared" si="8"/>
        <v>0.56805555555555554</v>
      </c>
      <c r="S152" s="57">
        <v>1500000</v>
      </c>
      <c r="T152" s="104">
        <v>45891</v>
      </c>
      <c r="U152" s="57">
        <v>4108103057</v>
      </c>
      <c r="V152" s="93"/>
    </row>
    <row r="153" spans="1:22" ht="24.95" customHeight="1" x14ac:dyDescent="0.25">
      <c r="A153" s="94">
        <v>150</v>
      </c>
      <c r="B153" s="57">
        <v>475452</v>
      </c>
      <c r="C153" s="58" t="s">
        <v>1945</v>
      </c>
      <c r="D153" s="100" t="s">
        <v>391</v>
      </c>
      <c r="E153" s="57" t="s">
        <v>1796</v>
      </c>
      <c r="F153" s="104">
        <v>39339</v>
      </c>
      <c r="G153" s="100" t="s">
        <v>417</v>
      </c>
      <c r="H153" s="100"/>
      <c r="I153" s="101">
        <f>72+73+92</f>
        <v>237</v>
      </c>
      <c r="J153" s="102">
        <v>300</v>
      </c>
      <c r="K153" s="103">
        <f t="shared" si="6"/>
        <v>0.79</v>
      </c>
      <c r="L153" s="105">
        <v>91</v>
      </c>
      <c r="M153" s="103">
        <v>100</v>
      </c>
      <c r="N153" s="103">
        <f t="shared" si="7"/>
        <v>0.91</v>
      </c>
      <c r="O153" s="103" t="s">
        <v>29</v>
      </c>
      <c r="P153" s="57">
        <v>289</v>
      </c>
      <c r="Q153" s="57">
        <v>720</v>
      </c>
      <c r="R153" s="57">
        <f t="shared" si="8"/>
        <v>0.40138888888888891</v>
      </c>
      <c r="S153" s="57">
        <v>1500000</v>
      </c>
      <c r="T153" s="104">
        <v>45907</v>
      </c>
      <c r="U153" s="57">
        <v>4112114160</v>
      </c>
      <c r="V153" s="93"/>
    </row>
    <row r="154" spans="1:22" ht="24.95" customHeight="1" x14ac:dyDescent="0.25">
      <c r="A154" s="94">
        <v>151</v>
      </c>
      <c r="B154" s="57">
        <v>258321</v>
      </c>
      <c r="C154" s="78" t="s">
        <v>1946</v>
      </c>
      <c r="D154" s="57" t="s">
        <v>391</v>
      </c>
      <c r="E154" s="57" t="s">
        <v>1796</v>
      </c>
      <c r="F154" s="79">
        <v>39162</v>
      </c>
      <c r="G154" s="100" t="s">
        <v>417</v>
      </c>
      <c r="H154" s="57"/>
      <c r="I154" s="101">
        <f>79+93+77</f>
        <v>249</v>
      </c>
      <c r="J154" s="57">
        <v>300</v>
      </c>
      <c r="K154" s="57">
        <f t="shared" si="6"/>
        <v>0.83</v>
      </c>
      <c r="L154" s="101">
        <v>88</v>
      </c>
      <c r="M154" s="102">
        <v>100</v>
      </c>
      <c r="N154" s="103">
        <f t="shared" si="7"/>
        <v>0.88</v>
      </c>
      <c r="O154" s="103" t="s">
        <v>29</v>
      </c>
      <c r="P154" s="57">
        <v>376</v>
      </c>
      <c r="Q154" s="57">
        <v>720</v>
      </c>
      <c r="R154" s="103">
        <f t="shared" si="8"/>
        <v>0.52222222222222225</v>
      </c>
      <c r="S154" s="57">
        <v>1500000</v>
      </c>
      <c r="T154" s="104">
        <v>45968</v>
      </c>
      <c r="U154" s="57">
        <v>4129102418</v>
      </c>
      <c r="V154" s="93"/>
    </row>
    <row r="155" spans="1:22" ht="24.95" customHeight="1" x14ac:dyDescent="0.25">
      <c r="A155" s="94">
        <v>152</v>
      </c>
      <c r="B155" s="57">
        <v>60718</v>
      </c>
      <c r="C155" s="58" t="s">
        <v>1947</v>
      </c>
      <c r="D155" s="100" t="s">
        <v>391</v>
      </c>
      <c r="E155" s="57" t="s">
        <v>1796</v>
      </c>
      <c r="F155" s="104">
        <v>38694</v>
      </c>
      <c r="G155" s="100" t="s">
        <v>392</v>
      </c>
      <c r="H155" s="57"/>
      <c r="I155" s="101">
        <f>96+95+97</f>
        <v>288</v>
      </c>
      <c r="J155" s="102">
        <v>300</v>
      </c>
      <c r="K155" s="103">
        <f t="shared" si="6"/>
        <v>0.96</v>
      </c>
      <c r="L155" s="105">
        <v>97</v>
      </c>
      <c r="M155" s="103">
        <v>100</v>
      </c>
      <c r="N155" s="103">
        <f t="shared" si="7"/>
        <v>0.97</v>
      </c>
      <c r="O155" s="103" t="s">
        <v>29</v>
      </c>
      <c r="P155" s="57">
        <v>493</v>
      </c>
      <c r="Q155" s="57">
        <v>720</v>
      </c>
      <c r="R155" s="103">
        <f t="shared" si="8"/>
        <v>0.68472222222222223</v>
      </c>
      <c r="S155" s="57">
        <v>450000</v>
      </c>
      <c r="T155" s="104">
        <v>45889</v>
      </c>
      <c r="U155" s="57">
        <v>4108102619</v>
      </c>
      <c r="V155" s="93"/>
    </row>
    <row r="156" spans="1:22" ht="24.95" customHeight="1" x14ac:dyDescent="0.25">
      <c r="A156" s="94">
        <v>153</v>
      </c>
      <c r="B156" s="57">
        <v>184733</v>
      </c>
      <c r="C156" s="52" t="s">
        <v>1948</v>
      </c>
      <c r="D156" s="57" t="s">
        <v>397</v>
      </c>
      <c r="E156" s="57" t="s">
        <v>1796</v>
      </c>
      <c r="F156" s="79">
        <v>39351</v>
      </c>
      <c r="G156" s="100" t="s">
        <v>1940</v>
      </c>
      <c r="H156" s="57"/>
      <c r="I156" s="101">
        <f>91+93+94</f>
        <v>278</v>
      </c>
      <c r="J156" s="102">
        <v>300</v>
      </c>
      <c r="K156" s="103">
        <f t="shared" si="6"/>
        <v>0.92666666666666664</v>
      </c>
      <c r="L156" s="105">
        <v>99</v>
      </c>
      <c r="M156" s="103">
        <v>100</v>
      </c>
      <c r="N156" s="103">
        <f t="shared" si="7"/>
        <v>0.99</v>
      </c>
      <c r="O156" s="103" t="s">
        <v>29</v>
      </c>
      <c r="P156" s="57">
        <v>414</v>
      </c>
      <c r="Q156" s="57">
        <v>720</v>
      </c>
      <c r="R156" s="57">
        <f t="shared" si="8"/>
        <v>0.57499999999999996</v>
      </c>
      <c r="S156" s="57" t="s">
        <v>1814</v>
      </c>
      <c r="T156" s="104">
        <v>45967</v>
      </c>
      <c r="U156" s="57">
        <v>4101207112</v>
      </c>
      <c r="V156" s="93"/>
    </row>
    <row r="157" spans="1:22" ht="24.95" customHeight="1" x14ac:dyDescent="0.25">
      <c r="A157" s="94">
        <v>154</v>
      </c>
      <c r="B157" s="57">
        <v>329132</v>
      </c>
      <c r="C157" s="58" t="s">
        <v>1949</v>
      </c>
      <c r="D157" s="100" t="s">
        <v>391</v>
      </c>
      <c r="E157" s="57" t="s">
        <v>1796</v>
      </c>
      <c r="F157" s="104">
        <v>39015</v>
      </c>
      <c r="G157" s="100" t="s">
        <v>417</v>
      </c>
      <c r="H157" s="57"/>
      <c r="I157" s="101">
        <f>68+95+92</f>
        <v>255</v>
      </c>
      <c r="J157" s="102">
        <v>300</v>
      </c>
      <c r="K157" s="103">
        <f t="shared" si="6"/>
        <v>0.85</v>
      </c>
      <c r="L157" s="105">
        <v>91</v>
      </c>
      <c r="M157" s="103">
        <v>100</v>
      </c>
      <c r="N157" s="103">
        <f t="shared" si="7"/>
        <v>0.91</v>
      </c>
      <c r="O157" s="103" t="s">
        <v>29</v>
      </c>
      <c r="P157" s="57">
        <v>344</v>
      </c>
      <c r="Q157" s="57">
        <v>720</v>
      </c>
      <c r="R157" s="57">
        <f t="shared" si="8"/>
        <v>0.4777777777777778</v>
      </c>
      <c r="S157" s="57">
        <v>1500000</v>
      </c>
      <c r="T157" s="104">
        <v>45889</v>
      </c>
      <c r="U157" s="57">
        <v>4131109123</v>
      </c>
      <c r="V157" s="93"/>
    </row>
    <row r="158" spans="1:22" ht="24.95" customHeight="1" x14ac:dyDescent="0.25">
      <c r="A158" s="94">
        <v>155</v>
      </c>
      <c r="B158" s="57">
        <v>65147</v>
      </c>
      <c r="C158" s="58" t="s">
        <v>1950</v>
      </c>
      <c r="D158" s="100" t="s">
        <v>391</v>
      </c>
      <c r="E158" s="57" t="s">
        <v>1796</v>
      </c>
      <c r="F158" s="104">
        <v>38912</v>
      </c>
      <c r="G158" s="100" t="s">
        <v>392</v>
      </c>
      <c r="H158" s="57"/>
      <c r="I158" s="101">
        <f>81+77+92</f>
        <v>250</v>
      </c>
      <c r="J158" s="102">
        <v>300</v>
      </c>
      <c r="K158" s="103">
        <f t="shared" si="6"/>
        <v>0.83333333333333337</v>
      </c>
      <c r="L158" s="105">
        <v>92</v>
      </c>
      <c r="M158" s="103">
        <v>100</v>
      </c>
      <c r="N158" s="103">
        <f t="shared" si="7"/>
        <v>0.92</v>
      </c>
      <c r="O158" s="103" t="s">
        <v>29</v>
      </c>
      <c r="P158" s="57">
        <v>489</v>
      </c>
      <c r="Q158" s="57">
        <v>720</v>
      </c>
      <c r="R158" s="57">
        <f t="shared" si="8"/>
        <v>0.6791666666666667</v>
      </c>
      <c r="S158" s="57">
        <v>450000</v>
      </c>
      <c r="T158" s="104">
        <v>45889</v>
      </c>
      <c r="U158" s="57">
        <v>4105102260</v>
      </c>
      <c r="V158" s="93"/>
    </row>
    <row r="159" spans="1:22" ht="24.95" customHeight="1" x14ac:dyDescent="0.25">
      <c r="A159" s="94">
        <v>156</v>
      </c>
      <c r="B159" s="57">
        <v>538721</v>
      </c>
      <c r="C159" s="78" t="s">
        <v>1951</v>
      </c>
      <c r="D159" s="57" t="s">
        <v>397</v>
      </c>
      <c r="E159" s="57" t="s">
        <v>1796</v>
      </c>
      <c r="F159" s="79">
        <v>39022</v>
      </c>
      <c r="G159" s="100" t="s">
        <v>417</v>
      </c>
      <c r="H159" s="57"/>
      <c r="I159" s="101">
        <f>65+59+64</f>
        <v>188</v>
      </c>
      <c r="J159" s="57">
        <v>300</v>
      </c>
      <c r="K159" s="57">
        <f t="shared" si="6"/>
        <v>0.62666666666666671</v>
      </c>
      <c r="L159" s="101">
        <v>73</v>
      </c>
      <c r="M159" s="102">
        <v>100</v>
      </c>
      <c r="N159" s="103">
        <f t="shared" si="7"/>
        <v>0.73</v>
      </c>
      <c r="O159" s="103" t="s">
        <v>29</v>
      </c>
      <c r="P159" s="57">
        <v>269</v>
      </c>
      <c r="Q159" s="57">
        <v>720</v>
      </c>
      <c r="R159" s="103">
        <f t="shared" si="8"/>
        <v>0.37361111111111112</v>
      </c>
      <c r="S159" s="57">
        <v>1500000</v>
      </c>
      <c r="T159" s="104">
        <v>45968</v>
      </c>
      <c r="U159" s="57">
        <v>4131101445</v>
      </c>
      <c r="V159" s="93"/>
    </row>
    <row r="160" spans="1:22" ht="24.95" customHeight="1" x14ac:dyDescent="0.25">
      <c r="A160" s="94">
        <v>157</v>
      </c>
      <c r="B160" s="57">
        <v>65701</v>
      </c>
      <c r="C160" s="58" t="s">
        <v>1952</v>
      </c>
      <c r="D160" s="100" t="s">
        <v>397</v>
      </c>
      <c r="E160" s="57" t="s">
        <v>1796</v>
      </c>
      <c r="F160" s="104">
        <v>38344</v>
      </c>
      <c r="G160" s="100" t="s">
        <v>392</v>
      </c>
      <c r="H160" s="57"/>
      <c r="I160" s="101">
        <f>93+92+97</f>
        <v>282</v>
      </c>
      <c r="J160" s="102">
        <v>300</v>
      </c>
      <c r="K160" s="103">
        <f t="shared" si="6"/>
        <v>0.94</v>
      </c>
      <c r="L160" s="105">
        <v>92</v>
      </c>
      <c r="M160" s="103">
        <v>100</v>
      </c>
      <c r="N160" s="103">
        <f t="shared" si="7"/>
        <v>0.92</v>
      </c>
      <c r="O160" s="103" t="s">
        <v>29</v>
      </c>
      <c r="P160" s="57">
        <v>489</v>
      </c>
      <c r="Q160" s="57">
        <v>720</v>
      </c>
      <c r="R160" s="57">
        <f t="shared" si="8"/>
        <v>0.6791666666666667</v>
      </c>
      <c r="S160" s="57">
        <v>450000</v>
      </c>
      <c r="T160" s="104">
        <v>45928</v>
      </c>
      <c r="U160" s="57">
        <v>4113110533</v>
      </c>
      <c r="V160" s="93"/>
    </row>
    <row r="161" spans="1:22" ht="24.95" customHeight="1" x14ac:dyDescent="0.25">
      <c r="A161" s="94">
        <v>158</v>
      </c>
      <c r="B161" s="57">
        <v>587065</v>
      </c>
      <c r="C161" s="58" t="s">
        <v>1953</v>
      </c>
      <c r="D161" s="100" t="s">
        <v>397</v>
      </c>
      <c r="E161" s="57" t="s">
        <v>1796</v>
      </c>
      <c r="F161" s="104">
        <v>39115</v>
      </c>
      <c r="G161" s="100" t="s">
        <v>417</v>
      </c>
      <c r="H161" s="57"/>
      <c r="I161" s="101">
        <f>61+59+69</f>
        <v>189</v>
      </c>
      <c r="J161" s="102">
        <v>300</v>
      </c>
      <c r="K161" s="103">
        <f t="shared" si="6"/>
        <v>0.63</v>
      </c>
      <c r="L161" s="105">
        <v>92</v>
      </c>
      <c r="M161" s="103">
        <v>100</v>
      </c>
      <c r="N161" s="103">
        <f t="shared" si="7"/>
        <v>0.92</v>
      </c>
      <c r="O161" s="103" t="s">
        <v>29</v>
      </c>
      <c r="P161" s="57">
        <v>254</v>
      </c>
      <c r="Q161" s="57">
        <v>720</v>
      </c>
      <c r="R161" s="57">
        <f t="shared" si="8"/>
        <v>0.3527777777777778</v>
      </c>
      <c r="S161" s="57">
        <v>1500000</v>
      </c>
      <c r="T161" s="104">
        <v>45966</v>
      </c>
      <c r="U161" s="57">
        <v>4114101307</v>
      </c>
      <c r="V161" s="93"/>
    </row>
    <row r="162" spans="1:22" ht="24.95" customHeight="1" x14ac:dyDescent="0.25">
      <c r="A162" s="94">
        <v>159</v>
      </c>
      <c r="B162" s="57">
        <v>711269</v>
      </c>
      <c r="C162" s="78" t="s">
        <v>1954</v>
      </c>
      <c r="D162" s="57" t="s">
        <v>391</v>
      </c>
      <c r="E162" s="57" t="s">
        <v>1796</v>
      </c>
      <c r="F162" s="79">
        <v>38518</v>
      </c>
      <c r="G162" s="100" t="s">
        <v>417</v>
      </c>
      <c r="H162" s="57"/>
      <c r="I162" s="101">
        <f>66+93+77</f>
        <v>236</v>
      </c>
      <c r="J162" s="57">
        <v>300</v>
      </c>
      <c r="K162" s="57">
        <f t="shared" si="6"/>
        <v>0.78666666666666663</v>
      </c>
      <c r="L162" s="101">
        <v>81</v>
      </c>
      <c r="M162" s="102">
        <v>100</v>
      </c>
      <c r="N162" s="103">
        <f t="shared" si="7"/>
        <v>0.81</v>
      </c>
      <c r="O162" s="103" t="s">
        <v>29</v>
      </c>
      <c r="P162" s="57">
        <v>221</v>
      </c>
      <c r="Q162" s="57">
        <v>720</v>
      </c>
      <c r="R162" s="103">
        <f t="shared" si="8"/>
        <v>0.30694444444444446</v>
      </c>
      <c r="S162" s="57">
        <v>1500000</v>
      </c>
      <c r="T162" s="104">
        <v>45968</v>
      </c>
      <c r="U162" s="57">
        <v>4131101154</v>
      </c>
      <c r="V162" s="93"/>
    </row>
    <row r="163" spans="1:22" ht="24.95" customHeight="1" x14ac:dyDescent="0.25">
      <c r="A163" s="94">
        <v>160</v>
      </c>
      <c r="B163" s="57">
        <v>82699</v>
      </c>
      <c r="C163" s="78" t="s">
        <v>1955</v>
      </c>
      <c r="D163" s="57" t="s">
        <v>391</v>
      </c>
      <c r="E163" s="57" t="s">
        <v>1796</v>
      </c>
      <c r="F163" s="79">
        <v>38169</v>
      </c>
      <c r="G163" s="100" t="s">
        <v>392</v>
      </c>
      <c r="H163" s="57"/>
      <c r="I163" s="101">
        <f>90+93+98</f>
        <v>281</v>
      </c>
      <c r="J163" s="102">
        <v>300</v>
      </c>
      <c r="K163" s="103">
        <f t="shared" si="6"/>
        <v>0.93666666666666665</v>
      </c>
      <c r="L163" s="105">
        <v>99</v>
      </c>
      <c r="M163" s="103">
        <v>100</v>
      </c>
      <c r="N163" s="103">
        <f t="shared" si="7"/>
        <v>0.99</v>
      </c>
      <c r="O163" s="103" t="s">
        <v>29</v>
      </c>
      <c r="P163" s="57">
        <v>476</v>
      </c>
      <c r="Q163" s="57">
        <v>720</v>
      </c>
      <c r="R163" s="57">
        <f t="shared" si="8"/>
        <v>0.66111111111111109</v>
      </c>
      <c r="S163" s="57">
        <v>450000</v>
      </c>
      <c r="T163" s="104">
        <v>45967</v>
      </c>
      <c r="U163" s="57">
        <v>4103101090</v>
      </c>
      <c r="V163" s="93"/>
    </row>
    <row r="164" spans="1:22" ht="24.95" customHeight="1" x14ac:dyDescent="0.25">
      <c r="A164" s="94">
        <v>161</v>
      </c>
      <c r="B164" s="57">
        <v>82847</v>
      </c>
      <c r="C164" s="58" t="s">
        <v>1956</v>
      </c>
      <c r="D164" s="100" t="s">
        <v>391</v>
      </c>
      <c r="E164" s="57" t="s">
        <v>1796</v>
      </c>
      <c r="F164" s="104">
        <v>38750</v>
      </c>
      <c r="G164" s="100" t="s">
        <v>392</v>
      </c>
      <c r="H164" s="57"/>
      <c r="I164" s="101">
        <f>76+90+92</f>
        <v>258</v>
      </c>
      <c r="J164" s="102">
        <v>300</v>
      </c>
      <c r="K164" s="103">
        <f t="shared" si="6"/>
        <v>0.86</v>
      </c>
      <c r="L164" s="105">
        <v>92</v>
      </c>
      <c r="M164" s="103">
        <v>100</v>
      </c>
      <c r="N164" s="103">
        <f t="shared" si="7"/>
        <v>0.92</v>
      </c>
      <c r="O164" s="103" t="s">
        <v>29</v>
      </c>
      <c r="P164" s="57">
        <v>476</v>
      </c>
      <c r="Q164" s="57">
        <v>720</v>
      </c>
      <c r="R164" s="57">
        <f t="shared" si="8"/>
        <v>0.66111111111111109</v>
      </c>
      <c r="S164" s="57">
        <v>450000</v>
      </c>
      <c r="T164" s="104">
        <v>45966</v>
      </c>
      <c r="U164" s="57">
        <v>4101304185</v>
      </c>
      <c r="V164" s="93"/>
    </row>
    <row r="165" spans="1:22" ht="24.95" customHeight="1" x14ac:dyDescent="0.25">
      <c r="A165" s="94">
        <v>162</v>
      </c>
      <c r="B165" s="57">
        <v>830888</v>
      </c>
      <c r="C165" s="78" t="s">
        <v>1957</v>
      </c>
      <c r="D165" s="57" t="s">
        <v>391</v>
      </c>
      <c r="E165" s="57" t="s">
        <v>1796</v>
      </c>
      <c r="F165" s="79">
        <v>39218</v>
      </c>
      <c r="G165" s="100" t="s">
        <v>417</v>
      </c>
      <c r="H165" s="57"/>
      <c r="I165" s="101">
        <f>62+61+61</f>
        <v>184</v>
      </c>
      <c r="J165" s="57">
        <v>300</v>
      </c>
      <c r="K165" s="57">
        <f t="shared" si="6"/>
        <v>0.61333333333333329</v>
      </c>
      <c r="L165" s="101">
        <v>83</v>
      </c>
      <c r="M165" s="102">
        <v>100</v>
      </c>
      <c r="N165" s="103">
        <f t="shared" si="7"/>
        <v>0.83</v>
      </c>
      <c r="O165" s="103" t="s">
        <v>29</v>
      </c>
      <c r="P165" s="57">
        <v>193</v>
      </c>
      <c r="Q165" s="57">
        <v>720</v>
      </c>
      <c r="R165" s="103">
        <f t="shared" si="8"/>
        <v>0.26805555555555555</v>
      </c>
      <c r="S165" s="57">
        <v>1500000</v>
      </c>
      <c r="T165" s="104">
        <v>45968</v>
      </c>
      <c r="U165" s="57">
        <v>4114111388</v>
      </c>
      <c r="V165" s="93"/>
    </row>
    <row r="166" spans="1:22" ht="24.95" customHeight="1" x14ac:dyDescent="0.25">
      <c r="A166" s="94">
        <v>163</v>
      </c>
      <c r="B166" s="57">
        <v>64343</v>
      </c>
      <c r="C166" s="58" t="s">
        <v>1958</v>
      </c>
      <c r="D166" s="100" t="s">
        <v>391</v>
      </c>
      <c r="E166" s="57" t="s">
        <v>1796</v>
      </c>
      <c r="F166" s="104">
        <v>38770</v>
      </c>
      <c r="G166" s="100" t="s">
        <v>392</v>
      </c>
      <c r="H166" s="57"/>
      <c r="I166" s="101">
        <f>89+89+93</f>
        <v>271</v>
      </c>
      <c r="J166" s="102">
        <v>300</v>
      </c>
      <c r="K166" s="103">
        <f t="shared" si="6"/>
        <v>0.90333333333333332</v>
      </c>
      <c r="L166" s="105">
        <v>90</v>
      </c>
      <c r="M166" s="103">
        <v>100</v>
      </c>
      <c r="N166" s="103">
        <f t="shared" si="7"/>
        <v>0.9</v>
      </c>
      <c r="O166" s="103" t="s">
        <v>29</v>
      </c>
      <c r="P166" s="57">
        <v>490</v>
      </c>
      <c r="Q166" s="57">
        <v>720</v>
      </c>
      <c r="R166" s="57">
        <f t="shared" si="8"/>
        <v>0.68055555555555558</v>
      </c>
      <c r="S166" s="57">
        <v>450000</v>
      </c>
      <c r="T166" s="104">
        <v>45891</v>
      </c>
      <c r="U166" s="57">
        <v>4113106407</v>
      </c>
      <c r="V166" s="93"/>
    </row>
    <row r="167" spans="1:22" ht="24.95" customHeight="1" x14ac:dyDescent="0.25">
      <c r="A167" s="94">
        <v>164</v>
      </c>
      <c r="B167" s="57">
        <v>75371</v>
      </c>
      <c r="C167" s="58" t="s">
        <v>1959</v>
      </c>
      <c r="D167" s="100" t="s">
        <v>397</v>
      </c>
      <c r="E167" s="57" t="s">
        <v>1796</v>
      </c>
      <c r="F167" s="104">
        <v>39326</v>
      </c>
      <c r="G167" s="100" t="s">
        <v>392</v>
      </c>
      <c r="H167" s="57"/>
      <c r="I167" s="101">
        <f>98+93+99</f>
        <v>290</v>
      </c>
      <c r="J167" s="102">
        <v>300</v>
      </c>
      <c r="K167" s="103">
        <f t="shared" si="6"/>
        <v>0.96666666666666667</v>
      </c>
      <c r="L167" s="105">
        <v>92</v>
      </c>
      <c r="M167" s="103">
        <v>100</v>
      </c>
      <c r="N167" s="103">
        <f t="shared" si="7"/>
        <v>0.92</v>
      </c>
      <c r="O167" s="103" t="s">
        <v>29</v>
      </c>
      <c r="P167" s="57">
        <v>481</v>
      </c>
      <c r="Q167" s="57">
        <v>720</v>
      </c>
      <c r="R167" s="57">
        <f t="shared" si="8"/>
        <v>0.66805555555555551</v>
      </c>
      <c r="S167" s="57">
        <v>450000</v>
      </c>
      <c r="T167" s="104">
        <v>45926</v>
      </c>
      <c r="U167" s="57">
        <v>4120107149</v>
      </c>
      <c r="V167" s="93"/>
    </row>
    <row r="168" spans="1:22" ht="24.95" customHeight="1" x14ac:dyDescent="0.25">
      <c r="A168" s="94">
        <v>165</v>
      </c>
      <c r="B168" s="57">
        <v>64856</v>
      </c>
      <c r="C168" s="58" t="s">
        <v>1960</v>
      </c>
      <c r="D168" s="100" t="s">
        <v>391</v>
      </c>
      <c r="E168" s="57" t="s">
        <v>1796</v>
      </c>
      <c r="F168" s="104">
        <v>39377</v>
      </c>
      <c r="G168" s="100" t="s">
        <v>392</v>
      </c>
      <c r="H168" s="57"/>
      <c r="I168" s="101">
        <f>90+97+97</f>
        <v>284</v>
      </c>
      <c r="J168" s="102">
        <v>300</v>
      </c>
      <c r="K168" s="103">
        <f t="shared" si="6"/>
        <v>0.94666666666666666</v>
      </c>
      <c r="L168" s="105">
        <v>88</v>
      </c>
      <c r="M168" s="103">
        <v>100</v>
      </c>
      <c r="N168" s="103">
        <f t="shared" si="7"/>
        <v>0.88</v>
      </c>
      <c r="O168" s="103" t="s">
        <v>29</v>
      </c>
      <c r="P168" s="57">
        <v>489</v>
      </c>
      <c r="Q168" s="57">
        <v>720</v>
      </c>
      <c r="R168" s="57">
        <f t="shared" si="8"/>
        <v>0.6791666666666667</v>
      </c>
      <c r="S168" s="57">
        <v>450000</v>
      </c>
      <c r="T168" s="104">
        <v>45889</v>
      </c>
      <c r="U168" s="57">
        <v>4108106238</v>
      </c>
      <c r="V168" s="93"/>
    </row>
    <row r="169" spans="1:22" ht="24.95" customHeight="1" x14ac:dyDescent="0.25">
      <c r="A169" s="94">
        <v>166</v>
      </c>
      <c r="B169" s="57">
        <v>74248</v>
      </c>
      <c r="C169" s="58" t="s">
        <v>1961</v>
      </c>
      <c r="D169" s="100" t="s">
        <v>397</v>
      </c>
      <c r="E169" s="57" t="s">
        <v>1796</v>
      </c>
      <c r="F169" s="104">
        <v>38420</v>
      </c>
      <c r="G169" s="100" t="s">
        <v>392</v>
      </c>
      <c r="H169" s="57"/>
      <c r="I169" s="101">
        <f>61+86+81</f>
        <v>228</v>
      </c>
      <c r="J169" s="102">
        <v>300</v>
      </c>
      <c r="K169" s="103">
        <f t="shared" si="6"/>
        <v>0.76</v>
      </c>
      <c r="L169" s="105">
        <v>79</v>
      </c>
      <c r="M169" s="103">
        <v>100</v>
      </c>
      <c r="N169" s="103">
        <f t="shared" si="7"/>
        <v>0.79</v>
      </c>
      <c r="O169" s="103" t="s">
        <v>29</v>
      </c>
      <c r="P169" s="57">
        <v>482</v>
      </c>
      <c r="Q169" s="57">
        <v>720</v>
      </c>
      <c r="R169" s="57">
        <f t="shared" si="8"/>
        <v>0.6694444444444444</v>
      </c>
      <c r="S169" s="57">
        <v>450000</v>
      </c>
      <c r="T169" s="104">
        <v>45928</v>
      </c>
      <c r="U169" s="57">
        <v>4103106575</v>
      </c>
      <c r="V169" s="93"/>
    </row>
    <row r="170" spans="1:22" ht="24.95" customHeight="1" x14ac:dyDescent="0.25">
      <c r="A170" s="94">
        <v>167</v>
      </c>
      <c r="B170" s="57">
        <v>75822</v>
      </c>
      <c r="C170" s="58" t="s">
        <v>1962</v>
      </c>
      <c r="D170" s="100" t="s">
        <v>391</v>
      </c>
      <c r="E170" s="57" t="s">
        <v>1796</v>
      </c>
      <c r="F170" s="104">
        <v>38338</v>
      </c>
      <c r="G170" s="100" t="s">
        <v>392</v>
      </c>
      <c r="H170" s="57"/>
      <c r="I170" s="101">
        <f>75+89+75</f>
        <v>239</v>
      </c>
      <c r="J170" s="102">
        <v>300</v>
      </c>
      <c r="K170" s="103">
        <f t="shared" si="6"/>
        <v>0.79666666666666663</v>
      </c>
      <c r="L170" s="105">
        <v>88</v>
      </c>
      <c r="M170" s="103">
        <v>100</v>
      </c>
      <c r="N170" s="103">
        <f t="shared" si="7"/>
        <v>0.88</v>
      </c>
      <c r="O170" s="103" t="s">
        <v>29</v>
      </c>
      <c r="P170" s="57">
        <v>481</v>
      </c>
      <c r="Q170" s="57">
        <v>720</v>
      </c>
      <c r="R170" s="57">
        <f t="shared" si="8"/>
        <v>0.66805555555555551</v>
      </c>
      <c r="S170" s="57">
        <v>450000</v>
      </c>
      <c r="T170" s="104">
        <v>45967</v>
      </c>
      <c r="U170" s="57">
        <v>4102113080</v>
      </c>
      <c r="V170" s="93"/>
    </row>
    <row r="171" spans="1:22" ht="24.95" customHeight="1" x14ac:dyDescent="0.25">
      <c r="A171" s="94">
        <v>168</v>
      </c>
      <c r="B171" s="57">
        <v>65223</v>
      </c>
      <c r="C171" s="58" t="s">
        <v>1963</v>
      </c>
      <c r="D171" s="100" t="s">
        <v>391</v>
      </c>
      <c r="E171" s="57" t="s">
        <v>1796</v>
      </c>
      <c r="F171" s="104">
        <v>38954</v>
      </c>
      <c r="G171" s="100" t="s">
        <v>392</v>
      </c>
      <c r="H171" s="57"/>
      <c r="I171" s="101">
        <f>87+86+85</f>
        <v>258</v>
      </c>
      <c r="J171" s="102">
        <v>300</v>
      </c>
      <c r="K171" s="103">
        <f t="shared" si="6"/>
        <v>0.86</v>
      </c>
      <c r="L171" s="105">
        <v>86</v>
      </c>
      <c r="M171" s="103">
        <v>100</v>
      </c>
      <c r="N171" s="103">
        <f t="shared" si="7"/>
        <v>0.86</v>
      </c>
      <c r="O171" s="103" t="s">
        <v>29</v>
      </c>
      <c r="P171" s="57">
        <v>489</v>
      </c>
      <c r="Q171" s="57">
        <v>720</v>
      </c>
      <c r="R171" s="57">
        <f t="shared" si="8"/>
        <v>0.6791666666666667</v>
      </c>
      <c r="S171" s="57">
        <v>450000</v>
      </c>
      <c r="T171" s="104">
        <v>45926</v>
      </c>
      <c r="U171" s="57">
        <v>4106115033</v>
      </c>
      <c r="V171" s="93"/>
    </row>
    <row r="172" spans="1:22" ht="24.95" customHeight="1" x14ac:dyDescent="0.25">
      <c r="A172" s="94">
        <v>169</v>
      </c>
      <c r="B172" s="57">
        <v>165312</v>
      </c>
      <c r="C172" s="58" t="s">
        <v>1964</v>
      </c>
      <c r="D172" s="100" t="s">
        <v>391</v>
      </c>
      <c r="E172" s="57" t="s">
        <v>1796</v>
      </c>
      <c r="F172" s="104">
        <v>38548</v>
      </c>
      <c r="G172" s="100" t="s">
        <v>392</v>
      </c>
      <c r="H172" s="57"/>
      <c r="I172" s="101">
        <f>92+94+91</f>
        <v>277</v>
      </c>
      <c r="J172" s="102">
        <v>300</v>
      </c>
      <c r="K172" s="103">
        <f t="shared" si="6"/>
        <v>0.92333333333333334</v>
      </c>
      <c r="L172" s="105">
        <v>87</v>
      </c>
      <c r="M172" s="103">
        <v>100</v>
      </c>
      <c r="N172" s="103">
        <f t="shared" si="7"/>
        <v>0.87</v>
      </c>
      <c r="O172" s="103" t="s">
        <v>29</v>
      </c>
      <c r="P172" s="57">
        <v>424</v>
      </c>
      <c r="Q172" s="57">
        <v>720</v>
      </c>
      <c r="R172" s="57">
        <f t="shared" si="8"/>
        <v>0.58888888888888891</v>
      </c>
      <c r="S172" s="57">
        <v>450000</v>
      </c>
      <c r="T172" s="104">
        <v>45890</v>
      </c>
      <c r="U172" s="57">
        <v>4101312331</v>
      </c>
      <c r="V172" s="93"/>
    </row>
    <row r="173" spans="1:22" ht="24.95" customHeight="1" x14ac:dyDescent="0.25">
      <c r="A173" s="94">
        <v>170</v>
      </c>
      <c r="B173" s="57">
        <v>248091</v>
      </c>
      <c r="C173" s="58" t="s">
        <v>1965</v>
      </c>
      <c r="D173" s="100" t="s">
        <v>391</v>
      </c>
      <c r="E173" s="57" t="s">
        <v>1796</v>
      </c>
      <c r="F173" s="104">
        <v>39104</v>
      </c>
      <c r="G173" s="100" t="s">
        <v>417</v>
      </c>
      <c r="H173" s="57"/>
      <c r="I173" s="101">
        <f>71+82+91</f>
        <v>244</v>
      </c>
      <c r="J173" s="102">
        <v>300</v>
      </c>
      <c r="K173" s="103">
        <f t="shared" si="6"/>
        <v>0.81333333333333335</v>
      </c>
      <c r="L173" s="105">
        <v>94</v>
      </c>
      <c r="M173" s="103">
        <v>100</v>
      </c>
      <c r="N173" s="103">
        <f t="shared" si="7"/>
        <v>0.94</v>
      </c>
      <c r="O173" s="103" t="s">
        <v>29</v>
      </c>
      <c r="P173" s="57">
        <v>381</v>
      </c>
      <c r="Q173" s="57">
        <v>720</v>
      </c>
      <c r="R173" s="57">
        <f t="shared" si="8"/>
        <v>0.52916666666666667</v>
      </c>
      <c r="S173" s="57">
        <v>1500000</v>
      </c>
      <c r="T173" s="104">
        <v>45969</v>
      </c>
      <c r="U173" s="57">
        <v>4106103378</v>
      </c>
      <c r="V173" s="93"/>
    </row>
    <row r="174" spans="1:22" ht="24.95" customHeight="1" x14ac:dyDescent="0.25">
      <c r="A174" s="94">
        <v>171</v>
      </c>
      <c r="B174" s="57">
        <v>282433</v>
      </c>
      <c r="C174" s="78" t="s">
        <v>1966</v>
      </c>
      <c r="D174" s="57" t="s">
        <v>391</v>
      </c>
      <c r="E174" s="57" t="s">
        <v>1796</v>
      </c>
      <c r="F174" s="79">
        <v>39350</v>
      </c>
      <c r="G174" s="100" t="s">
        <v>417</v>
      </c>
      <c r="H174" s="57"/>
      <c r="I174" s="101">
        <f>89+88+83</f>
        <v>260</v>
      </c>
      <c r="J174" s="57">
        <v>300</v>
      </c>
      <c r="K174" s="57">
        <f t="shared" si="6"/>
        <v>0.8666666666666667</v>
      </c>
      <c r="L174" s="101">
        <v>78</v>
      </c>
      <c r="M174" s="102">
        <v>100</v>
      </c>
      <c r="N174" s="103">
        <f t="shared" si="7"/>
        <v>0.78</v>
      </c>
      <c r="O174" s="103" t="s">
        <v>29</v>
      </c>
      <c r="P174" s="57">
        <v>365</v>
      </c>
      <c r="Q174" s="57">
        <v>720</v>
      </c>
      <c r="R174" s="103">
        <f t="shared" si="8"/>
        <v>0.50694444444444442</v>
      </c>
      <c r="S174" s="57">
        <v>1500000</v>
      </c>
      <c r="T174" s="104">
        <v>45968</v>
      </c>
      <c r="U174" s="57">
        <v>4112110363</v>
      </c>
      <c r="V174" s="93"/>
    </row>
    <row r="175" spans="1:22" ht="24.95" customHeight="1" x14ac:dyDescent="0.25">
      <c r="A175" s="94">
        <v>172</v>
      </c>
      <c r="B175" s="57">
        <v>204835</v>
      </c>
      <c r="C175" s="58" t="s">
        <v>1967</v>
      </c>
      <c r="D175" s="100" t="s">
        <v>391</v>
      </c>
      <c r="E175" s="57" t="s">
        <v>1796</v>
      </c>
      <c r="F175" s="104">
        <v>39104</v>
      </c>
      <c r="G175" s="100" t="s">
        <v>1813</v>
      </c>
      <c r="H175" s="57"/>
      <c r="I175" s="101">
        <f>90+91+83</f>
        <v>264</v>
      </c>
      <c r="J175" s="102">
        <v>300</v>
      </c>
      <c r="K175" s="103">
        <f t="shared" si="6"/>
        <v>0.88</v>
      </c>
      <c r="L175" s="105">
        <v>76</v>
      </c>
      <c r="M175" s="103">
        <v>100</v>
      </c>
      <c r="N175" s="103">
        <f t="shared" si="7"/>
        <v>0.76</v>
      </c>
      <c r="O175" s="103" t="s">
        <v>29</v>
      </c>
      <c r="P175" s="57">
        <v>403</v>
      </c>
      <c r="Q175" s="57">
        <v>720</v>
      </c>
      <c r="R175" s="57">
        <f t="shared" si="8"/>
        <v>0.55972222222222223</v>
      </c>
      <c r="S175" s="57" t="s">
        <v>1814</v>
      </c>
      <c r="T175" s="104">
        <v>45875</v>
      </c>
      <c r="U175" s="57">
        <v>4109112104</v>
      </c>
      <c r="V175" s="93"/>
    </row>
    <row r="176" spans="1:22" ht="24.95" customHeight="1" x14ac:dyDescent="0.25">
      <c r="A176" s="94">
        <v>173</v>
      </c>
      <c r="B176" s="57">
        <v>172633</v>
      </c>
      <c r="C176" s="78" t="s">
        <v>1968</v>
      </c>
      <c r="D176" s="57" t="s">
        <v>397</v>
      </c>
      <c r="E176" s="57" t="s">
        <v>1796</v>
      </c>
      <c r="F176" s="79">
        <v>38804</v>
      </c>
      <c r="G176" s="100" t="s">
        <v>392</v>
      </c>
      <c r="H176" s="57"/>
      <c r="I176" s="101">
        <f>80+95+95</f>
        <v>270</v>
      </c>
      <c r="J176" s="57">
        <v>300</v>
      </c>
      <c r="K176" s="57">
        <f t="shared" si="6"/>
        <v>0.9</v>
      </c>
      <c r="L176" s="101">
        <v>95</v>
      </c>
      <c r="M176" s="102">
        <v>100</v>
      </c>
      <c r="N176" s="103">
        <f t="shared" si="7"/>
        <v>0.95</v>
      </c>
      <c r="O176" s="103" t="s">
        <v>29</v>
      </c>
      <c r="P176" s="57">
        <v>420</v>
      </c>
      <c r="Q176" s="57">
        <v>720</v>
      </c>
      <c r="R176" s="103">
        <f t="shared" si="8"/>
        <v>0.58333333333333337</v>
      </c>
      <c r="S176" s="57">
        <v>450000</v>
      </c>
      <c r="T176" s="104">
        <v>45966</v>
      </c>
      <c r="U176" s="57">
        <v>4114108101</v>
      </c>
      <c r="V176" s="93"/>
    </row>
    <row r="177" spans="1:22" ht="24.95" customHeight="1" x14ac:dyDescent="0.25">
      <c r="A177" s="94">
        <v>174</v>
      </c>
      <c r="B177" s="57">
        <v>679241</v>
      </c>
      <c r="C177" s="58" t="s">
        <v>1969</v>
      </c>
      <c r="D177" s="100" t="s">
        <v>391</v>
      </c>
      <c r="E177" s="57" t="s">
        <v>1796</v>
      </c>
      <c r="F177" s="104">
        <v>39535</v>
      </c>
      <c r="G177" s="100" t="s">
        <v>417</v>
      </c>
      <c r="H177" s="57"/>
      <c r="I177" s="101">
        <f>63+61+81</f>
        <v>205</v>
      </c>
      <c r="J177" s="102">
        <v>300</v>
      </c>
      <c r="K177" s="103">
        <f t="shared" si="6"/>
        <v>0.68333333333333335</v>
      </c>
      <c r="L177" s="105">
        <v>91</v>
      </c>
      <c r="M177" s="103">
        <v>100</v>
      </c>
      <c r="N177" s="103">
        <f t="shared" si="7"/>
        <v>0.91</v>
      </c>
      <c r="O177" s="103" t="s">
        <v>29</v>
      </c>
      <c r="P177" s="57">
        <v>229</v>
      </c>
      <c r="Q177" s="57">
        <v>720</v>
      </c>
      <c r="R177" s="57">
        <f t="shared" si="8"/>
        <v>0.31805555555555554</v>
      </c>
      <c r="S177" s="57">
        <v>1500000</v>
      </c>
      <c r="T177" s="104">
        <v>45967</v>
      </c>
      <c r="U177" s="57">
        <v>4102110438</v>
      </c>
      <c r="V177" s="93"/>
    </row>
    <row r="178" spans="1:22" ht="24.95" customHeight="1" x14ac:dyDescent="0.25">
      <c r="A178" s="94">
        <v>175</v>
      </c>
      <c r="B178" s="57">
        <v>82233</v>
      </c>
      <c r="C178" s="78" t="s">
        <v>1970</v>
      </c>
      <c r="D178" s="57" t="s">
        <v>391</v>
      </c>
      <c r="E178" s="57" t="s">
        <v>1796</v>
      </c>
      <c r="F178" s="99">
        <v>39346</v>
      </c>
      <c r="G178" s="100" t="s">
        <v>392</v>
      </c>
      <c r="H178" s="57"/>
      <c r="I178" s="101">
        <f>85+99+90</f>
        <v>274</v>
      </c>
      <c r="J178" s="57">
        <v>300</v>
      </c>
      <c r="K178" s="57">
        <f t="shared" si="6"/>
        <v>0.91333333333333333</v>
      </c>
      <c r="L178" s="101">
        <v>86</v>
      </c>
      <c r="M178" s="102">
        <v>100</v>
      </c>
      <c r="N178" s="103">
        <f t="shared" si="7"/>
        <v>0.86</v>
      </c>
      <c r="O178" s="103" t="s">
        <v>29</v>
      </c>
      <c r="P178" s="57">
        <v>476</v>
      </c>
      <c r="Q178" s="57">
        <v>720</v>
      </c>
      <c r="R178" s="103">
        <f t="shared" si="8"/>
        <v>0.66111111111111109</v>
      </c>
      <c r="S178" s="57">
        <v>450000</v>
      </c>
      <c r="T178" s="104">
        <v>45966</v>
      </c>
      <c r="U178" s="57">
        <v>4101304295</v>
      </c>
      <c r="V178" s="93"/>
    </row>
    <row r="179" spans="1:22" ht="24.95" customHeight="1" x14ac:dyDescent="0.25">
      <c r="A179" s="94">
        <v>176</v>
      </c>
      <c r="B179" s="57">
        <v>13102255</v>
      </c>
      <c r="C179" s="58" t="s">
        <v>1971</v>
      </c>
      <c r="D179" s="100" t="s">
        <v>391</v>
      </c>
      <c r="E179" s="57" t="s">
        <v>1796</v>
      </c>
      <c r="F179" s="104">
        <v>39214</v>
      </c>
      <c r="G179" s="100" t="s">
        <v>417</v>
      </c>
      <c r="H179" s="100"/>
      <c r="I179" s="101">
        <f>60+69+54</f>
        <v>183</v>
      </c>
      <c r="J179" s="102">
        <v>300</v>
      </c>
      <c r="K179" s="103">
        <f t="shared" si="6"/>
        <v>0.61</v>
      </c>
      <c r="L179" s="105">
        <v>79</v>
      </c>
      <c r="M179" s="103">
        <v>100</v>
      </c>
      <c r="N179" s="103">
        <f t="shared" si="7"/>
        <v>0.79</v>
      </c>
      <c r="O179" s="103" t="s">
        <v>29</v>
      </c>
      <c r="P179" s="57">
        <v>114</v>
      </c>
      <c r="Q179" s="57">
        <v>720</v>
      </c>
      <c r="R179" s="57">
        <f t="shared" si="8"/>
        <v>0.15833333333333333</v>
      </c>
      <c r="S179" s="57">
        <v>1500000</v>
      </c>
      <c r="T179" s="104">
        <v>45969</v>
      </c>
      <c r="U179" s="57">
        <v>4103106092</v>
      </c>
      <c r="V179" s="93"/>
    </row>
    <row r="180" spans="1:22" ht="24.95" customHeight="1" x14ac:dyDescent="0.25">
      <c r="A180" s="94">
        <v>177</v>
      </c>
      <c r="B180" s="57">
        <v>163560</v>
      </c>
      <c r="C180" s="110" t="s">
        <v>1972</v>
      </c>
      <c r="D180" s="57" t="s">
        <v>391</v>
      </c>
      <c r="E180" s="57" t="s">
        <v>1796</v>
      </c>
      <c r="F180" s="79">
        <v>38767</v>
      </c>
      <c r="G180" s="100" t="s">
        <v>417</v>
      </c>
      <c r="H180" s="57"/>
      <c r="I180" s="101">
        <f>97+99+85</f>
        <v>281</v>
      </c>
      <c r="J180" s="57">
        <v>300</v>
      </c>
      <c r="K180" s="57">
        <f t="shared" si="6"/>
        <v>0.93666666666666665</v>
      </c>
      <c r="L180" s="101">
        <v>90</v>
      </c>
      <c r="M180" s="102">
        <v>100</v>
      </c>
      <c r="N180" s="103">
        <f t="shared" si="7"/>
        <v>0.9</v>
      </c>
      <c r="O180" s="103" t="s">
        <v>29</v>
      </c>
      <c r="P180" s="57">
        <v>425</v>
      </c>
      <c r="Q180" s="57">
        <v>720</v>
      </c>
      <c r="R180" s="103">
        <f t="shared" si="8"/>
        <v>0.59027777777777779</v>
      </c>
      <c r="S180" s="57">
        <v>450000</v>
      </c>
      <c r="T180" s="104">
        <v>45966</v>
      </c>
      <c r="U180" s="57">
        <v>4129101274</v>
      </c>
      <c r="V180" s="93"/>
    </row>
    <row r="181" spans="1:22" ht="24.95" customHeight="1" x14ac:dyDescent="0.25">
      <c r="A181" s="94">
        <v>178</v>
      </c>
      <c r="B181" s="57">
        <v>581900</v>
      </c>
      <c r="C181" s="78" t="s">
        <v>1973</v>
      </c>
      <c r="D181" s="57" t="s">
        <v>397</v>
      </c>
      <c r="E181" s="57" t="s">
        <v>1796</v>
      </c>
      <c r="F181" s="79">
        <v>39346</v>
      </c>
      <c r="G181" s="100" t="s">
        <v>417</v>
      </c>
      <c r="H181" s="57"/>
      <c r="I181" s="101">
        <f>69+66+72</f>
        <v>207</v>
      </c>
      <c r="J181" s="57">
        <v>300</v>
      </c>
      <c r="K181" s="57">
        <f t="shared" si="6"/>
        <v>0.69</v>
      </c>
      <c r="L181" s="101">
        <v>66</v>
      </c>
      <c r="M181" s="102">
        <v>100</v>
      </c>
      <c r="N181" s="103">
        <f t="shared" si="7"/>
        <v>0.66</v>
      </c>
      <c r="O181" s="103" t="s">
        <v>29</v>
      </c>
      <c r="P181" s="57">
        <v>256</v>
      </c>
      <c r="Q181" s="57">
        <v>720</v>
      </c>
      <c r="R181" s="103">
        <f t="shared" si="8"/>
        <v>0.35555555555555557</v>
      </c>
      <c r="S181" s="57">
        <v>1500000</v>
      </c>
      <c r="T181" s="104">
        <v>45968</v>
      </c>
      <c r="U181" s="57">
        <v>4108113245</v>
      </c>
      <c r="V181" s="93"/>
    </row>
    <row r="182" spans="1:22" ht="24.95" customHeight="1" x14ac:dyDescent="0.25">
      <c r="A182" s="94">
        <v>179</v>
      </c>
      <c r="B182" s="57">
        <v>159361</v>
      </c>
      <c r="C182" s="58" t="s">
        <v>1974</v>
      </c>
      <c r="D182" s="100" t="s">
        <v>397</v>
      </c>
      <c r="E182" s="57" t="s">
        <v>1796</v>
      </c>
      <c r="F182" s="104">
        <v>39060</v>
      </c>
      <c r="G182" s="100" t="s">
        <v>392</v>
      </c>
      <c r="H182" s="100"/>
      <c r="I182" s="101">
        <f>89+94+97</f>
        <v>280</v>
      </c>
      <c r="J182" s="102">
        <v>300</v>
      </c>
      <c r="K182" s="103">
        <f t="shared" si="6"/>
        <v>0.93333333333333335</v>
      </c>
      <c r="L182" s="105">
        <v>92</v>
      </c>
      <c r="M182" s="103">
        <v>100</v>
      </c>
      <c r="N182" s="103">
        <f t="shared" si="7"/>
        <v>0.92</v>
      </c>
      <c r="O182" s="103" t="s">
        <v>29</v>
      </c>
      <c r="P182" s="57">
        <v>428</v>
      </c>
      <c r="Q182" s="57">
        <v>720</v>
      </c>
      <c r="R182" s="57">
        <f t="shared" si="8"/>
        <v>0.59444444444444444</v>
      </c>
      <c r="S182" s="57">
        <v>450000</v>
      </c>
      <c r="T182" s="104">
        <v>45891</v>
      </c>
      <c r="U182" s="57">
        <v>4104102289</v>
      </c>
      <c r="V182" s="93"/>
    </row>
    <row r="183" spans="1:22" ht="24.95" customHeight="1" x14ac:dyDescent="0.25">
      <c r="A183" s="94">
        <v>180</v>
      </c>
      <c r="B183" s="57">
        <v>269675</v>
      </c>
      <c r="C183" s="58" t="s">
        <v>1975</v>
      </c>
      <c r="D183" s="100" t="s">
        <v>397</v>
      </c>
      <c r="E183" s="57" t="s">
        <v>1796</v>
      </c>
      <c r="F183" s="104">
        <v>38877</v>
      </c>
      <c r="G183" s="100" t="s">
        <v>417</v>
      </c>
      <c r="H183" s="100"/>
      <c r="I183" s="101">
        <f>83+85+81</f>
        <v>249</v>
      </c>
      <c r="J183" s="102">
        <v>300</v>
      </c>
      <c r="K183" s="103">
        <f t="shared" si="6"/>
        <v>0.83</v>
      </c>
      <c r="L183" s="105">
        <v>86</v>
      </c>
      <c r="M183" s="103">
        <v>100</v>
      </c>
      <c r="N183" s="103">
        <f t="shared" si="7"/>
        <v>0.86</v>
      </c>
      <c r="O183" s="103" t="s">
        <v>29</v>
      </c>
      <c r="P183" s="57">
        <v>371</v>
      </c>
      <c r="Q183" s="57">
        <v>720</v>
      </c>
      <c r="R183" s="57">
        <f t="shared" si="8"/>
        <v>0.51527777777777772</v>
      </c>
      <c r="S183" s="57">
        <v>1500000</v>
      </c>
      <c r="T183" s="104">
        <v>45891</v>
      </c>
      <c r="U183" s="57">
        <v>4101306419</v>
      </c>
      <c r="V183" s="93"/>
    </row>
    <row r="184" spans="1:22" ht="24.95" customHeight="1" x14ac:dyDescent="0.25">
      <c r="A184" s="94">
        <v>181</v>
      </c>
      <c r="B184" s="57">
        <v>168703</v>
      </c>
      <c r="C184" s="58" t="s">
        <v>1976</v>
      </c>
      <c r="D184" s="100" t="s">
        <v>391</v>
      </c>
      <c r="E184" s="57" t="s">
        <v>1796</v>
      </c>
      <c r="F184" s="104">
        <v>39068</v>
      </c>
      <c r="G184" s="100" t="s">
        <v>392</v>
      </c>
      <c r="H184" s="57"/>
      <c r="I184" s="101">
        <f>67+94+83</f>
        <v>244</v>
      </c>
      <c r="J184" s="102">
        <v>300</v>
      </c>
      <c r="K184" s="103">
        <f t="shared" si="6"/>
        <v>0.81333333333333335</v>
      </c>
      <c r="L184" s="105">
        <v>79</v>
      </c>
      <c r="M184" s="103">
        <v>100</v>
      </c>
      <c r="N184" s="103">
        <f t="shared" si="7"/>
        <v>0.79</v>
      </c>
      <c r="O184" s="103" t="s">
        <v>29</v>
      </c>
      <c r="P184" s="57">
        <v>422</v>
      </c>
      <c r="Q184" s="57">
        <v>720</v>
      </c>
      <c r="R184" s="57">
        <f t="shared" si="8"/>
        <v>0.58611111111111114</v>
      </c>
      <c r="S184" s="57">
        <v>450000</v>
      </c>
      <c r="T184" s="104">
        <v>45891</v>
      </c>
      <c r="U184" s="57">
        <v>4115101389</v>
      </c>
      <c r="V184" s="93"/>
    </row>
    <row r="185" spans="1:22" ht="24.95" customHeight="1" x14ac:dyDescent="0.25">
      <c r="A185" s="94">
        <v>182</v>
      </c>
      <c r="B185" s="57">
        <v>289052</v>
      </c>
      <c r="C185" s="58" t="s">
        <v>1977</v>
      </c>
      <c r="D185" s="100" t="s">
        <v>391</v>
      </c>
      <c r="E185" s="57" t="s">
        <v>1796</v>
      </c>
      <c r="F185" s="104">
        <v>39416</v>
      </c>
      <c r="G185" s="100" t="s">
        <v>417</v>
      </c>
      <c r="H185" s="57"/>
      <c r="I185" s="101">
        <f>80+82+88</f>
        <v>250</v>
      </c>
      <c r="J185" s="102">
        <v>300</v>
      </c>
      <c r="K185" s="103">
        <f t="shared" si="6"/>
        <v>0.83333333333333337</v>
      </c>
      <c r="L185" s="105">
        <v>80</v>
      </c>
      <c r="M185" s="103">
        <v>100</v>
      </c>
      <c r="N185" s="103">
        <f t="shared" si="7"/>
        <v>0.8</v>
      </c>
      <c r="O185" s="103" t="s">
        <v>29</v>
      </c>
      <c r="P185" s="57">
        <v>362</v>
      </c>
      <c r="Q185" s="57">
        <v>720</v>
      </c>
      <c r="R185" s="57">
        <f t="shared" si="8"/>
        <v>0.50277777777777777</v>
      </c>
      <c r="S185" s="57">
        <v>1500000</v>
      </c>
      <c r="T185" s="104">
        <v>45890</v>
      </c>
      <c r="U185" s="57">
        <v>4108109575</v>
      </c>
      <c r="V185" s="93"/>
    </row>
    <row r="186" spans="1:22" ht="24.95" customHeight="1" x14ac:dyDescent="0.25">
      <c r="A186" s="94">
        <v>183</v>
      </c>
      <c r="B186" s="57">
        <v>82225</v>
      </c>
      <c r="C186" s="78" t="s">
        <v>1978</v>
      </c>
      <c r="D186" s="57" t="s">
        <v>397</v>
      </c>
      <c r="E186" s="57" t="s">
        <v>1796</v>
      </c>
      <c r="F186" s="79">
        <v>39181</v>
      </c>
      <c r="G186" s="100" t="s">
        <v>392</v>
      </c>
      <c r="H186" s="57"/>
      <c r="I186" s="101">
        <f>65+74+83</f>
        <v>222</v>
      </c>
      <c r="J186" s="57">
        <v>300</v>
      </c>
      <c r="K186" s="57">
        <f t="shared" si="6"/>
        <v>0.74</v>
      </c>
      <c r="L186" s="101">
        <v>88</v>
      </c>
      <c r="M186" s="102">
        <v>100</v>
      </c>
      <c r="N186" s="103">
        <f t="shared" si="7"/>
        <v>0.88</v>
      </c>
      <c r="O186" s="103" t="s">
        <v>29</v>
      </c>
      <c r="P186" s="57">
        <v>476</v>
      </c>
      <c r="Q186" s="57">
        <v>720</v>
      </c>
      <c r="R186" s="103">
        <f t="shared" si="8"/>
        <v>0.66111111111111109</v>
      </c>
      <c r="S186" s="57">
        <v>450000</v>
      </c>
      <c r="T186" s="104">
        <v>45966</v>
      </c>
      <c r="U186" s="57">
        <v>4112109276</v>
      </c>
      <c r="V186" s="93"/>
    </row>
    <row r="187" spans="1:22" ht="24.95" customHeight="1" x14ac:dyDescent="0.25">
      <c r="A187" s="94">
        <v>184</v>
      </c>
      <c r="B187" s="57">
        <v>357126</v>
      </c>
      <c r="C187" s="58" t="s">
        <v>1979</v>
      </c>
      <c r="D187" s="100" t="s">
        <v>397</v>
      </c>
      <c r="E187" s="57" t="s">
        <v>1796</v>
      </c>
      <c r="F187" s="104">
        <v>39165</v>
      </c>
      <c r="G187" s="100" t="s">
        <v>417</v>
      </c>
      <c r="H187" s="57"/>
      <c r="I187" s="101">
        <f>61+67+73</f>
        <v>201</v>
      </c>
      <c r="J187" s="102">
        <v>300</v>
      </c>
      <c r="K187" s="103">
        <f t="shared" si="6"/>
        <v>0.67</v>
      </c>
      <c r="L187" s="105">
        <v>74</v>
      </c>
      <c r="M187" s="103">
        <v>100</v>
      </c>
      <c r="N187" s="103">
        <f t="shared" si="7"/>
        <v>0.74</v>
      </c>
      <c r="O187" s="103" t="s">
        <v>29</v>
      </c>
      <c r="P187" s="57">
        <v>333</v>
      </c>
      <c r="Q187" s="57">
        <v>720</v>
      </c>
      <c r="R187" s="57">
        <f t="shared" si="8"/>
        <v>0.46250000000000002</v>
      </c>
      <c r="S187" s="57">
        <v>1500000</v>
      </c>
      <c r="T187" s="104">
        <v>45925</v>
      </c>
      <c r="U187" s="57">
        <v>4121111274</v>
      </c>
      <c r="V187" s="93"/>
    </row>
    <row r="188" spans="1:22" ht="24.95" customHeight="1" x14ac:dyDescent="0.25">
      <c r="A188" s="94">
        <v>185</v>
      </c>
      <c r="B188" s="57">
        <v>63870</v>
      </c>
      <c r="C188" s="58" t="s">
        <v>1980</v>
      </c>
      <c r="D188" s="100" t="s">
        <v>391</v>
      </c>
      <c r="E188" s="57" t="s">
        <v>1796</v>
      </c>
      <c r="F188" s="104">
        <v>39284</v>
      </c>
      <c r="G188" s="100" t="s">
        <v>392</v>
      </c>
      <c r="H188" s="100"/>
      <c r="I188" s="101">
        <f>83+95+98</f>
        <v>276</v>
      </c>
      <c r="J188" s="102">
        <v>300</v>
      </c>
      <c r="K188" s="103">
        <f t="shared" si="6"/>
        <v>0.92</v>
      </c>
      <c r="L188" s="105">
        <v>94</v>
      </c>
      <c r="M188" s="103">
        <v>100</v>
      </c>
      <c r="N188" s="103">
        <f t="shared" si="7"/>
        <v>0.94</v>
      </c>
      <c r="O188" s="103" t="s">
        <v>29</v>
      </c>
      <c r="P188" s="57">
        <v>490</v>
      </c>
      <c r="Q188" s="57">
        <v>720</v>
      </c>
      <c r="R188" s="57">
        <f t="shared" si="8"/>
        <v>0.68055555555555558</v>
      </c>
      <c r="S188" s="57">
        <v>450000</v>
      </c>
      <c r="T188" s="104">
        <v>45889</v>
      </c>
      <c r="U188" s="57">
        <v>4108106008</v>
      </c>
      <c r="V188" s="93"/>
    </row>
    <row r="189" spans="1:22" ht="24.95" customHeight="1" x14ac:dyDescent="0.25">
      <c r="A189" s="94">
        <v>186</v>
      </c>
      <c r="B189" s="57">
        <v>62716</v>
      </c>
      <c r="C189" s="58" t="s">
        <v>1981</v>
      </c>
      <c r="D189" s="100" t="s">
        <v>391</v>
      </c>
      <c r="E189" s="57" t="s">
        <v>1796</v>
      </c>
      <c r="F189" s="104">
        <v>38728</v>
      </c>
      <c r="G189" s="100" t="s">
        <v>392</v>
      </c>
      <c r="H189" s="57"/>
      <c r="I189" s="101">
        <f>79+93+83</f>
        <v>255</v>
      </c>
      <c r="J189" s="102">
        <v>300</v>
      </c>
      <c r="K189" s="103">
        <f t="shared" si="6"/>
        <v>0.85</v>
      </c>
      <c r="L189" s="105">
        <v>75</v>
      </c>
      <c r="M189" s="103">
        <v>100</v>
      </c>
      <c r="N189" s="103">
        <f t="shared" si="7"/>
        <v>0.75</v>
      </c>
      <c r="O189" s="103" t="s">
        <v>29</v>
      </c>
      <c r="P189" s="57">
        <v>491</v>
      </c>
      <c r="Q189" s="57">
        <v>720</v>
      </c>
      <c r="R189" s="57">
        <f t="shared" si="8"/>
        <v>0.68194444444444446</v>
      </c>
      <c r="S189" s="57">
        <v>450000</v>
      </c>
      <c r="T189" s="104">
        <v>45889</v>
      </c>
      <c r="U189" s="57">
        <v>4131103226</v>
      </c>
      <c r="V189" s="93"/>
    </row>
    <row r="190" spans="1:22" ht="24.95" customHeight="1" x14ac:dyDescent="0.25">
      <c r="A190" s="94">
        <v>187</v>
      </c>
      <c r="B190" s="57">
        <v>476840</v>
      </c>
      <c r="C190" s="58" t="s">
        <v>1982</v>
      </c>
      <c r="D190" s="100" t="s">
        <v>391</v>
      </c>
      <c r="E190" s="57" t="s">
        <v>1796</v>
      </c>
      <c r="F190" s="104">
        <v>38884</v>
      </c>
      <c r="G190" s="100" t="s">
        <v>417</v>
      </c>
      <c r="H190" s="57"/>
      <c r="I190" s="101">
        <f>80+95+87</f>
        <v>262</v>
      </c>
      <c r="J190" s="102">
        <v>300</v>
      </c>
      <c r="K190" s="103">
        <f t="shared" si="6"/>
        <v>0.87333333333333329</v>
      </c>
      <c r="L190" s="105">
        <v>90</v>
      </c>
      <c r="M190" s="103">
        <v>100</v>
      </c>
      <c r="N190" s="103">
        <f t="shared" si="7"/>
        <v>0.9</v>
      </c>
      <c r="O190" s="103" t="s">
        <v>29</v>
      </c>
      <c r="P190" s="57">
        <v>288</v>
      </c>
      <c r="Q190" s="57">
        <v>720</v>
      </c>
      <c r="R190" s="57">
        <f t="shared" si="8"/>
        <v>0.4</v>
      </c>
      <c r="S190" s="57">
        <v>1500000</v>
      </c>
      <c r="T190" s="104">
        <v>45925</v>
      </c>
      <c r="U190" s="57">
        <v>4108102182</v>
      </c>
      <c r="V190" s="93"/>
    </row>
    <row r="191" spans="1:22" ht="24.95" customHeight="1" x14ac:dyDescent="0.25">
      <c r="A191" s="94">
        <v>188</v>
      </c>
      <c r="B191" s="57">
        <v>441606</v>
      </c>
      <c r="C191" s="58" t="s">
        <v>1983</v>
      </c>
      <c r="D191" s="100" t="s">
        <v>397</v>
      </c>
      <c r="E191" s="57" t="s">
        <v>1796</v>
      </c>
      <c r="F191" s="104">
        <v>38523</v>
      </c>
      <c r="G191" s="100" t="s">
        <v>417</v>
      </c>
      <c r="H191" s="57"/>
      <c r="I191" s="101">
        <f>67+78+69</f>
        <v>214</v>
      </c>
      <c r="J191" s="102">
        <v>300</v>
      </c>
      <c r="K191" s="103">
        <f t="shared" si="6"/>
        <v>0.71333333333333337</v>
      </c>
      <c r="L191" s="105">
        <v>90</v>
      </c>
      <c r="M191" s="103">
        <v>100</v>
      </c>
      <c r="N191" s="103">
        <f t="shared" si="7"/>
        <v>0.9</v>
      </c>
      <c r="O191" s="103" t="s">
        <v>29</v>
      </c>
      <c r="P191" s="57">
        <v>301</v>
      </c>
      <c r="Q191" s="57">
        <v>720</v>
      </c>
      <c r="R191" s="57">
        <f t="shared" si="8"/>
        <v>0.41805555555555557</v>
      </c>
      <c r="S191" s="57">
        <v>1500000</v>
      </c>
      <c r="T191" s="104">
        <v>45889</v>
      </c>
      <c r="U191" s="57">
        <v>4122103164</v>
      </c>
      <c r="V191" s="93"/>
    </row>
    <row r="192" spans="1:22" ht="24.95" customHeight="1" x14ac:dyDescent="0.25">
      <c r="A192" s="94">
        <v>189</v>
      </c>
      <c r="B192" s="57">
        <v>462215</v>
      </c>
      <c r="C192" s="58" t="s">
        <v>1984</v>
      </c>
      <c r="D192" s="100" t="s">
        <v>397</v>
      </c>
      <c r="E192" s="57" t="s">
        <v>1796</v>
      </c>
      <c r="F192" s="104">
        <v>38538</v>
      </c>
      <c r="G192" s="100" t="s">
        <v>417</v>
      </c>
      <c r="H192" s="100"/>
      <c r="I192" s="101">
        <f>69+59+73</f>
        <v>201</v>
      </c>
      <c r="J192" s="102">
        <v>300</v>
      </c>
      <c r="K192" s="103">
        <f t="shared" si="6"/>
        <v>0.67</v>
      </c>
      <c r="L192" s="105">
        <v>70</v>
      </c>
      <c r="M192" s="103">
        <v>100</v>
      </c>
      <c r="N192" s="103">
        <f t="shared" si="7"/>
        <v>0.7</v>
      </c>
      <c r="O192" s="103" t="s">
        <v>29</v>
      </c>
      <c r="P192" s="57">
        <v>293</v>
      </c>
      <c r="Q192" s="57">
        <v>720</v>
      </c>
      <c r="R192" s="57">
        <f t="shared" si="8"/>
        <v>0.40694444444444444</v>
      </c>
      <c r="S192" s="57">
        <v>1500000</v>
      </c>
      <c r="T192" s="104">
        <v>45929</v>
      </c>
      <c r="U192" s="57">
        <v>4109105299</v>
      </c>
      <c r="V192" s="93"/>
    </row>
    <row r="193" spans="1:22" ht="24.95" customHeight="1" x14ac:dyDescent="0.25">
      <c r="A193" s="94">
        <v>190</v>
      </c>
      <c r="B193" s="57">
        <v>868496</v>
      </c>
      <c r="C193" s="78" t="s">
        <v>1985</v>
      </c>
      <c r="D193" s="57" t="s">
        <v>397</v>
      </c>
      <c r="E193" s="57" t="s">
        <v>1796</v>
      </c>
      <c r="F193" s="99">
        <v>38591</v>
      </c>
      <c r="G193" s="100" t="s">
        <v>417</v>
      </c>
      <c r="H193" s="57"/>
      <c r="I193" s="101">
        <f>63+59+59</f>
        <v>181</v>
      </c>
      <c r="J193" s="57">
        <v>300</v>
      </c>
      <c r="K193" s="57">
        <f t="shared" si="6"/>
        <v>0.60333333333333339</v>
      </c>
      <c r="L193" s="101">
        <v>77</v>
      </c>
      <c r="M193" s="102">
        <v>100</v>
      </c>
      <c r="N193" s="103">
        <f t="shared" si="7"/>
        <v>0.77</v>
      </c>
      <c r="O193" s="103" t="s">
        <v>29</v>
      </c>
      <c r="P193" s="57">
        <v>185</v>
      </c>
      <c r="Q193" s="57">
        <v>720</v>
      </c>
      <c r="R193" s="103">
        <f t="shared" si="8"/>
        <v>0.25694444444444442</v>
      </c>
      <c r="S193" s="57">
        <v>1500000</v>
      </c>
      <c r="T193" s="104">
        <v>45968</v>
      </c>
      <c r="U193" s="57">
        <v>4122101428</v>
      </c>
      <c r="V193" s="93"/>
    </row>
    <row r="194" spans="1:22" ht="24.95" customHeight="1" x14ac:dyDescent="0.25">
      <c r="A194" s="94">
        <v>191</v>
      </c>
      <c r="B194" s="57">
        <v>65032</v>
      </c>
      <c r="C194" s="58" t="s">
        <v>1986</v>
      </c>
      <c r="D194" s="100" t="s">
        <v>391</v>
      </c>
      <c r="E194" s="57" t="s">
        <v>1796</v>
      </c>
      <c r="F194" s="104">
        <v>38783</v>
      </c>
      <c r="G194" s="100" t="s">
        <v>392</v>
      </c>
      <c r="H194" s="57"/>
      <c r="I194" s="101">
        <f>70+95+75</f>
        <v>240</v>
      </c>
      <c r="J194" s="102">
        <v>300</v>
      </c>
      <c r="K194" s="103">
        <f t="shared" si="6"/>
        <v>0.8</v>
      </c>
      <c r="L194" s="105">
        <v>92</v>
      </c>
      <c r="M194" s="103">
        <v>100</v>
      </c>
      <c r="N194" s="103">
        <f t="shared" si="7"/>
        <v>0.92</v>
      </c>
      <c r="O194" s="103" t="s">
        <v>29</v>
      </c>
      <c r="P194" s="57">
        <v>489</v>
      </c>
      <c r="Q194" s="57">
        <v>720</v>
      </c>
      <c r="R194" s="57">
        <f t="shared" si="8"/>
        <v>0.6791666666666667</v>
      </c>
      <c r="S194" s="57">
        <v>450000</v>
      </c>
      <c r="T194" s="104">
        <v>45890</v>
      </c>
      <c r="U194" s="57">
        <v>4118106332</v>
      </c>
      <c r="V194" s="93"/>
    </row>
    <row r="195" spans="1:22" ht="24.95" customHeight="1" x14ac:dyDescent="0.25">
      <c r="A195" s="94">
        <v>192</v>
      </c>
      <c r="B195" s="57">
        <v>284795</v>
      </c>
      <c r="C195" s="58" t="s">
        <v>1987</v>
      </c>
      <c r="D195" s="100" t="s">
        <v>391</v>
      </c>
      <c r="E195" s="57" t="s">
        <v>1796</v>
      </c>
      <c r="F195" s="104">
        <v>39008</v>
      </c>
      <c r="G195" s="100" t="s">
        <v>392</v>
      </c>
      <c r="H195" s="57"/>
      <c r="I195" s="101">
        <f>86+92+95</f>
        <v>273</v>
      </c>
      <c r="J195" s="102">
        <v>300</v>
      </c>
      <c r="K195" s="103">
        <f t="shared" si="6"/>
        <v>0.91</v>
      </c>
      <c r="L195" s="105">
        <v>89</v>
      </c>
      <c r="M195" s="103">
        <v>100</v>
      </c>
      <c r="N195" s="103">
        <f t="shared" si="7"/>
        <v>0.89</v>
      </c>
      <c r="O195" s="103" t="s">
        <v>29</v>
      </c>
      <c r="P195" s="57">
        <v>364</v>
      </c>
      <c r="Q195" s="57">
        <v>720</v>
      </c>
      <c r="R195" s="57">
        <f t="shared" si="8"/>
        <v>0.50555555555555554</v>
      </c>
      <c r="S195" s="57">
        <v>450000</v>
      </c>
      <c r="T195" s="104">
        <v>45926</v>
      </c>
      <c r="U195" s="57">
        <v>4113101499</v>
      </c>
      <c r="V195" s="93"/>
    </row>
    <row r="196" spans="1:22" ht="24.95" customHeight="1" x14ac:dyDescent="0.25">
      <c r="A196" s="94">
        <v>193</v>
      </c>
      <c r="B196" s="57">
        <v>152935</v>
      </c>
      <c r="C196" s="58" t="s">
        <v>1988</v>
      </c>
      <c r="D196" s="100" t="s">
        <v>397</v>
      </c>
      <c r="E196" s="57" t="s">
        <v>1796</v>
      </c>
      <c r="F196" s="104">
        <v>39503</v>
      </c>
      <c r="G196" s="100" t="s">
        <v>1813</v>
      </c>
      <c r="H196" s="57"/>
      <c r="I196" s="101">
        <f>93+98+92</f>
        <v>283</v>
      </c>
      <c r="J196" s="102">
        <v>300</v>
      </c>
      <c r="K196" s="103">
        <f t="shared" ref="K196:K203" si="9">I196/300</f>
        <v>0.94333333333333336</v>
      </c>
      <c r="L196" s="105">
        <v>91</v>
      </c>
      <c r="M196" s="103">
        <v>100</v>
      </c>
      <c r="N196" s="103">
        <f t="shared" ref="N196:N203" si="10">L196/100</f>
        <v>0.91</v>
      </c>
      <c r="O196" s="103" t="s">
        <v>29</v>
      </c>
      <c r="P196" s="57">
        <v>431</v>
      </c>
      <c r="Q196" s="57">
        <v>720</v>
      </c>
      <c r="R196" s="57">
        <f t="shared" ref="R196:R203" si="11">P196/720</f>
        <v>0.59861111111111109</v>
      </c>
      <c r="S196" s="57" t="s">
        <v>1814</v>
      </c>
      <c r="T196" s="104">
        <v>45876</v>
      </c>
      <c r="U196" s="57">
        <v>4101208348</v>
      </c>
      <c r="V196" s="93"/>
    </row>
    <row r="197" spans="1:22" ht="24.95" customHeight="1" x14ac:dyDescent="0.25">
      <c r="A197" s="94">
        <v>194</v>
      </c>
      <c r="B197" s="57">
        <v>63981</v>
      </c>
      <c r="C197" s="58" t="s">
        <v>1989</v>
      </c>
      <c r="D197" s="100" t="s">
        <v>391</v>
      </c>
      <c r="E197" s="57" t="s">
        <v>1796</v>
      </c>
      <c r="F197" s="104">
        <v>39029</v>
      </c>
      <c r="G197" s="100" t="s">
        <v>392</v>
      </c>
      <c r="H197" s="57"/>
      <c r="I197" s="101">
        <f>76+93+95</f>
        <v>264</v>
      </c>
      <c r="J197" s="102">
        <v>300</v>
      </c>
      <c r="K197" s="103">
        <f t="shared" si="9"/>
        <v>0.88</v>
      </c>
      <c r="L197" s="105">
        <v>93</v>
      </c>
      <c r="M197" s="103">
        <v>100</v>
      </c>
      <c r="N197" s="103">
        <f t="shared" si="10"/>
        <v>0.93</v>
      </c>
      <c r="O197" s="103" t="s">
        <v>29</v>
      </c>
      <c r="P197" s="57">
        <v>490</v>
      </c>
      <c r="Q197" s="57">
        <v>720</v>
      </c>
      <c r="R197" s="103">
        <f t="shared" si="11"/>
        <v>0.68055555555555558</v>
      </c>
      <c r="S197" s="57">
        <v>450000</v>
      </c>
      <c r="T197" s="104">
        <v>45890</v>
      </c>
      <c r="U197" s="57">
        <v>4127103408</v>
      </c>
      <c r="V197" s="93"/>
    </row>
    <row r="198" spans="1:22" ht="24.95" customHeight="1" x14ac:dyDescent="0.25">
      <c r="A198" s="94">
        <v>195</v>
      </c>
      <c r="B198" s="57">
        <v>525107</v>
      </c>
      <c r="C198" s="78" t="s">
        <v>1990</v>
      </c>
      <c r="D198" s="57" t="s">
        <v>391</v>
      </c>
      <c r="E198" s="57" t="s">
        <v>1796</v>
      </c>
      <c r="F198" s="99">
        <v>38782</v>
      </c>
      <c r="G198" s="100" t="s">
        <v>417</v>
      </c>
      <c r="H198" s="57"/>
      <c r="I198" s="101">
        <f>64+78+75</f>
        <v>217</v>
      </c>
      <c r="J198" s="57">
        <v>300</v>
      </c>
      <c r="K198" s="57">
        <f t="shared" si="9"/>
        <v>0.72333333333333338</v>
      </c>
      <c r="L198" s="101">
        <v>82</v>
      </c>
      <c r="M198" s="102">
        <v>100</v>
      </c>
      <c r="N198" s="103">
        <f t="shared" si="10"/>
        <v>0.82</v>
      </c>
      <c r="O198" s="103" t="s">
        <v>29</v>
      </c>
      <c r="P198" s="57">
        <v>273</v>
      </c>
      <c r="Q198" s="57">
        <v>720</v>
      </c>
      <c r="R198" s="103">
        <f t="shared" si="11"/>
        <v>0.37916666666666665</v>
      </c>
      <c r="S198" s="57">
        <v>1500000</v>
      </c>
      <c r="T198" s="104">
        <v>45966</v>
      </c>
      <c r="U198" s="57">
        <v>4102106508</v>
      </c>
      <c r="V198" s="93"/>
    </row>
    <row r="199" spans="1:22" ht="24.95" customHeight="1" x14ac:dyDescent="0.25">
      <c r="A199" s="94">
        <v>196</v>
      </c>
      <c r="B199" s="57">
        <v>415016</v>
      </c>
      <c r="C199" s="58" t="s">
        <v>1991</v>
      </c>
      <c r="D199" s="100" t="s">
        <v>391</v>
      </c>
      <c r="E199" s="57" t="s">
        <v>1796</v>
      </c>
      <c r="F199" s="104">
        <v>39057</v>
      </c>
      <c r="G199" s="100" t="s">
        <v>417</v>
      </c>
      <c r="H199" s="57"/>
      <c r="I199" s="101">
        <f>73+75+92</f>
        <v>240</v>
      </c>
      <c r="J199" s="102">
        <v>300</v>
      </c>
      <c r="K199" s="103">
        <f t="shared" si="9"/>
        <v>0.8</v>
      </c>
      <c r="L199" s="105">
        <v>93</v>
      </c>
      <c r="M199" s="103">
        <v>100</v>
      </c>
      <c r="N199" s="103">
        <f t="shared" si="10"/>
        <v>0.93</v>
      </c>
      <c r="O199" s="103" t="s">
        <v>29</v>
      </c>
      <c r="P199" s="57">
        <v>310</v>
      </c>
      <c r="Q199" s="57">
        <v>720</v>
      </c>
      <c r="R199" s="57">
        <f t="shared" si="11"/>
        <v>0.43055555555555558</v>
      </c>
      <c r="S199" s="57">
        <v>1500000</v>
      </c>
      <c r="T199" s="104">
        <v>45888</v>
      </c>
      <c r="U199" s="57">
        <v>4101113409</v>
      </c>
      <c r="V199" s="93"/>
    </row>
    <row r="200" spans="1:22" ht="24.95" customHeight="1" x14ac:dyDescent="0.25">
      <c r="A200" s="94">
        <v>197</v>
      </c>
      <c r="B200" s="57">
        <v>405015</v>
      </c>
      <c r="C200" s="58" t="s">
        <v>1992</v>
      </c>
      <c r="D200" s="100" t="s">
        <v>397</v>
      </c>
      <c r="E200" s="57" t="s">
        <v>1796</v>
      </c>
      <c r="F200" s="104">
        <v>39372</v>
      </c>
      <c r="G200" s="100" t="s">
        <v>417</v>
      </c>
      <c r="H200" s="100"/>
      <c r="I200" s="101">
        <f>70+81+78</f>
        <v>229</v>
      </c>
      <c r="J200" s="102">
        <v>300</v>
      </c>
      <c r="K200" s="103">
        <f t="shared" si="9"/>
        <v>0.76333333333333331</v>
      </c>
      <c r="L200" s="105">
        <v>85</v>
      </c>
      <c r="M200" s="103">
        <v>100</v>
      </c>
      <c r="N200" s="103">
        <f t="shared" si="10"/>
        <v>0.85</v>
      </c>
      <c r="O200" s="103" t="s">
        <v>29</v>
      </c>
      <c r="P200" s="57">
        <v>314</v>
      </c>
      <c r="Q200" s="57">
        <v>720</v>
      </c>
      <c r="R200" s="57">
        <f t="shared" si="11"/>
        <v>0.43611111111111112</v>
      </c>
      <c r="S200" s="57">
        <v>1500000</v>
      </c>
      <c r="T200" s="104">
        <v>45894</v>
      </c>
      <c r="U200" s="57">
        <v>4108105178</v>
      </c>
      <c r="V200" s="93"/>
    </row>
    <row r="201" spans="1:22" ht="24.95" customHeight="1" x14ac:dyDescent="0.25">
      <c r="A201" s="94">
        <v>198</v>
      </c>
      <c r="B201" s="57">
        <v>261561</v>
      </c>
      <c r="C201" s="78" t="s">
        <v>1993</v>
      </c>
      <c r="D201" s="57" t="s">
        <v>391</v>
      </c>
      <c r="E201" s="57" t="s">
        <v>1796</v>
      </c>
      <c r="F201" s="99">
        <v>38797</v>
      </c>
      <c r="G201" s="100" t="s">
        <v>417</v>
      </c>
      <c r="H201" s="57"/>
      <c r="I201" s="101">
        <f>63+73+76</f>
        <v>212</v>
      </c>
      <c r="J201" s="57">
        <v>300</v>
      </c>
      <c r="K201" s="57">
        <f t="shared" si="9"/>
        <v>0.70666666666666667</v>
      </c>
      <c r="L201" s="101">
        <v>70</v>
      </c>
      <c r="M201" s="102">
        <v>100</v>
      </c>
      <c r="N201" s="103">
        <f t="shared" si="10"/>
        <v>0.7</v>
      </c>
      <c r="O201" s="103" t="s">
        <v>29</v>
      </c>
      <c r="P201" s="57">
        <v>375</v>
      </c>
      <c r="Q201" s="57">
        <v>720</v>
      </c>
      <c r="R201" s="103">
        <f t="shared" si="11"/>
        <v>0.52083333333333337</v>
      </c>
      <c r="S201" s="57">
        <v>1500000</v>
      </c>
      <c r="T201" s="104">
        <v>45968</v>
      </c>
      <c r="U201" s="57">
        <v>4112114214</v>
      </c>
      <c r="V201" s="93"/>
    </row>
    <row r="202" spans="1:22" ht="24.95" customHeight="1" x14ac:dyDescent="0.25">
      <c r="A202" s="94">
        <v>199</v>
      </c>
      <c r="B202" s="57">
        <v>495475</v>
      </c>
      <c r="C202" s="58" t="s">
        <v>1994</v>
      </c>
      <c r="D202" s="100" t="s">
        <v>391</v>
      </c>
      <c r="E202" s="57" t="s">
        <v>1796</v>
      </c>
      <c r="F202" s="104">
        <v>39071</v>
      </c>
      <c r="G202" s="100" t="s">
        <v>417</v>
      </c>
      <c r="H202" s="57"/>
      <c r="I202" s="101">
        <f>74+74+73</f>
        <v>221</v>
      </c>
      <c r="J202" s="102">
        <v>300</v>
      </c>
      <c r="K202" s="103">
        <f t="shared" si="9"/>
        <v>0.73666666666666669</v>
      </c>
      <c r="L202" s="105">
        <v>76</v>
      </c>
      <c r="M202" s="103">
        <v>100</v>
      </c>
      <c r="N202" s="103">
        <f t="shared" si="10"/>
        <v>0.76</v>
      </c>
      <c r="O202" s="103" t="s">
        <v>29</v>
      </c>
      <c r="P202" s="57">
        <v>282</v>
      </c>
      <c r="Q202" s="57">
        <v>720</v>
      </c>
      <c r="R202" s="57">
        <f t="shared" si="11"/>
        <v>0.39166666666666666</v>
      </c>
      <c r="S202" s="57">
        <v>1500000</v>
      </c>
      <c r="T202" s="104">
        <v>45925</v>
      </c>
      <c r="U202" s="57">
        <v>4114110309</v>
      </c>
      <c r="V202" s="93"/>
    </row>
    <row r="203" spans="1:22" ht="24.95" customHeight="1" x14ac:dyDescent="0.25">
      <c r="A203" s="94">
        <v>200</v>
      </c>
      <c r="B203" s="57"/>
      <c r="C203" s="58" t="s">
        <v>1995</v>
      </c>
      <c r="D203" s="100" t="s">
        <v>391</v>
      </c>
      <c r="E203" s="57" t="s">
        <v>1796</v>
      </c>
      <c r="F203" s="104">
        <v>39317</v>
      </c>
      <c r="G203" s="100" t="s">
        <v>392</v>
      </c>
      <c r="H203" s="57"/>
      <c r="I203" s="101">
        <f>86+95+92</f>
        <v>273</v>
      </c>
      <c r="J203" s="102">
        <v>300</v>
      </c>
      <c r="K203" s="103">
        <f t="shared" si="9"/>
        <v>0.91</v>
      </c>
      <c r="L203" s="105">
        <v>87</v>
      </c>
      <c r="M203" s="103">
        <v>100</v>
      </c>
      <c r="N203" s="103">
        <f t="shared" si="10"/>
        <v>0.87</v>
      </c>
      <c r="O203" s="103" t="s">
        <v>29</v>
      </c>
      <c r="P203" s="57">
        <v>483</v>
      </c>
      <c r="Q203" s="57">
        <v>720</v>
      </c>
      <c r="R203" s="57">
        <f t="shared" si="11"/>
        <v>0.67083333333333328</v>
      </c>
      <c r="S203" s="57">
        <v>450000</v>
      </c>
      <c r="T203" s="104">
        <v>45890</v>
      </c>
      <c r="U203" s="57">
        <v>4108109344</v>
      </c>
      <c r="V203" s="93"/>
    </row>
  </sheetData>
  <mergeCells count="1">
    <mergeCell ref="A1:U1"/>
  </mergeCells>
  <conditionalFormatting sqref="B204:B1048576 B1:B8 B10:B139">
    <cfRule type="duplicateValues" dxfId="11" priority="5"/>
  </conditionalFormatting>
  <conditionalFormatting sqref="B9">
    <cfRule type="duplicateValues" dxfId="9" priority="4"/>
  </conditionalFormatting>
  <conditionalFormatting sqref="B140:B145">
    <cfRule type="duplicateValues" dxfId="7" priority="3"/>
  </conditionalFormatting>
  <conditionalFormatting sqref="B146:B179">
    <cfRule type="duplicateValues" dxfId="5" priority="2"/>
  </conditionalFormatting>
  <conditionalFormatting sqref="B1:B1048576">
    <cfRule type="duplicateValues" dxfId="3" priority="1"/>
  </conditionalFormatting>
  <conditionalFormatting sqref="B181:B203">
    <cfRule type="duplicateValues" dxfId="1" priority="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3" sqref="K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MBBS 2021-2022</vt:lpstr>
      <vt:lpstr>MBBS 2022-2023</vt:lpstr>
      <vt:lpstr>MBBS 2023-2024</vt:lpstr>
      <vt:lpstr>MBBS 2024-2025</vt:lpstr>
      <vt:lpstr>MBBS 2025-2026</vt:lpstr>
      <vt:lpstr>PG 2024-2025</vt:lpstr>
      <vt:lpstr>PG 2025-2026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AMCH</dc:creator>
  <cp:lastModifiedBy>AMCH</cp:lastModifiedBy>
  <dcterms:created xsi:type="dcterms:W3CDTF">2026-07-01T09:15:33Z</dcterms:created>
  <dcterms:modified xsi:type="dcterms:W3CDTF">2026-07-01T09:32:14Z</dcterms:modified>
</cp:coreProperties>
</file>